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440" windowHeight="11760" tabRatio="788" firstSheet="3" activeTab="14"/>
  </bookViews>
  <sheets>
    <sheet name="Ratios" sheetId="1" state="hidden" r:id="rId1"/>
    <sheet name="P&amp;L" sheetId="2" r:id="rId2"/>
    <sheet name="Cash Flow" sheetId="3" r:id="rId3"/>
    <sheet name="Working Capital" sheetId="4" r:id="rId4"/>
    <sheet name="Expenses" sheetId="5" r:id="rId5"/>
    <sheet name="Revenue" sheetId="6" r:id="rId6"/>
    <sheet name="Salaries " sheetId="7" r:id="rId7"/>
    <sheet name="Balance Sheet (Intentional Off)" sheetId="8" r:id="rId8"/>
    <sheet name="Cap Table" sheetId="9" r:id="rId9"/>
    <sheet name="Returns" sheetId="10" r:id="rId10"/>
    <sheet name="Financial Indicators" sheetId="11" state="hidden" r:id="rId11"/>
    <sheet name="Vena Mkt Drilldown" sheetId="12" state="hidden" r:id="rId12"/>
    <sheet name="Sales Comment" sheetId="13" state="hidden" r:id="rId13"/>
    <sheet name="Inv Comps" sheetId="14" state="hidden" r:id="rId14"/>
    <sheet name="Other Firm Comparison" sheetId="15" r:id="rId15"/>
  </sheets>
  <definedNames>
    <definedName name="\p">#REF!</definedName>
    <definedName name="\q">#REF!</definedName>
    <definedName name="M_000">#REF!</definedName>
    <definedName name="PRINT">#REF!</definedName>
    <definedName name="_xlnm.Print_Area" localSheetId="6">'Salaries '!$A$1:$CL$74</definedName>
    <definedName name="_xlnm.Print_Area" localSheetId="11">'Vena Mkt Drilldown'!$A$1:$I$69</definedName>
    <definedName name="Print_Area_MI">#REF!</definedName>
    <definedName name="_xlnm.Print_Titles" localSheetId="7">'Balance Sheet (Intentional Off)'!$A:$A,'Balance Sheet (Intentional Off)'!$1:$4</definedName>
    <definedName name="_xlnm.Print_Titles" localSheetId="2">'Cash Flow'!$A:$A,'Cash Flow'!$1:$4</definedName>
    <definedName name="_xlnm.Print_Titles" localSheetId="4">'Expenses'!$A:$C,'Expenses'!$1:$4</definedName>
    <definedName name="_xlnm.Print_Titles" localSheetId="1">'P&amp;L'!$A:$A</definedName>
    <definedName name="_xlnm.Print_Titles" localSheetId="3">'Working Capital'!$A:$B</definedName>
    <definedName name="Print_Titles_MI">#REF!</definedName>
    <definedName name="PRSALARY">#REF!</definedName>
    <definedName name="rmcAccount">2610001</definedName>
    <definedName name="rmcApplication">"ACT"</definedName>
    <definedName name="rmcCategory">"ACTUAL"</definedName>
    <definedName name="rmcFrequency">"YEA"</definedName>
    <definedName name="rmcName">"MDTBRA"</definedName>
    <definedName name="RMCOptions">"*000000000000000"</definedName>
    <definedName name="rmcPeriod">9512</definedName>
  </definedNames>
  <calcPr fullCalcOnLoad="1"/>
</workbook>
</file>

<file path=xl/sharedStrings.xml><?xml version="1.0" encoding="utf-8"?>
<sst xmlns="http://schemas.openxmlformats.org/spreadsheetml/2006/main" count="838" uniqueCount="326">
  <si>
    <t xml:space="preserve">      Cash used for investing activities</t>
  </si>
  <si>
    <t>Working Capital Forecast</t>
  </si>
  <si>
    <t>Accounts Receivable</t>
  </si>
  <si>
    <t>Accounts Payable</t>
  </si>
  <si>
    <t xml:space="preserve">   Days</t>
  </si>
  <si>
    <t xml:space="preserve">   Receivables</t>
  </si>
  <si>
    <t xml:space="preserve">   Payables</t>
  </si>
  <si>
    <t>Working Capital Total</t>
  </si>
  <si>
    <t>Income Tax Provision</t>
  </si>
  <si>
    <t>Net Income</t>
  </si>
  <si>
    <t>Admin (includes deprec)</t>
  </si>
  <si>
    <t>EBIT + WK</t>
  </si>
  <si>
    <t>Interest Expense</t>
  </si>
  <si>
    <t>Deferred Income Taxes</t>
  </si>
  <si>
    <t>Application Specialist</t>
  </si>
  <si>
    <t>Benchmark Sales by Employee</t>
  </si>
  <si>
    <t>Oracle</t>
  </si>
  <si>
    <t>Salesforce.com</t>
  </si>
  <si>
    <t>Microsoft</t>
  </si>
  <si>
    <t>Google</t>
  </si>
  <si>
    <t>Employee</t>
  </si>
  <si>
    <t>Rev/empl</t>
  </si>
  <si>
    <t>Revenue (000)</t>
  </si>
  <si>
    <t>Financial Return Model</t>
  </si>
  <si>
    <t>Net</t>
  </si>
  <si>
    <t>Multiplier</t>
  </si>
  <si>
    <t xml:space="preserve">   Other Current Liabilities</t>
  </si>
  <si>
    <t xml:space="preserve">      Total Current Liabilities</t>
  </si>
  <si>
    <t>Long Term Liabilities:</t>
  </si>
  <si>
    <t xml:space="preserve">   Revolver</t>
  </si>
  <si>
    <t xml:space="preserve">   Dividends Payable</t>
  </si>
  <si>
    <t>Total Liabilities</t>
  </si>
  <si>
    <t>Stockholders' Equity:</t>
  </si>
  <si>
    <t xml:space="preserve">   Retained Earnings</t>
  </si>
  <si>
    <t>Total Liabilities &amp; Equity</t>
  </si>
  <si>
    <t xml:space="preserve">   Curr Notes Payable</t>
  </si>
  <si>
    <t>60 DSO</t>
  </si>
  <si>
    <t>Cash Flow Statement</t>
  </si>
  <si>
    <t>CASH FLOWS FROM OPERATIONS:</t>
  </si>
  <si>
    <t xml:space="preserve">   Depreciation</t>
  </si>
  <si>
    <t>Changes in assets and liabilities:</t>
  </si>
  <si>
    <t>2009</t>
  </si>
  <si>
    <t>Diomed</t>
  </si>
  <si>
    <t>Sales</t>
  </si>
  <si>
    <t>Inside Customer Service</t>
  </si>
  <si>
    <t>Direct Field Reps</t>
  </si>
  <si>
    <t>Distributors</t>
  </si>
  <si>
    <t>Grand Total</t>
  </si>
  <si>
    <t>Total</t>
  </si>
  <si>
    <t>Discounted Units</t>
  </si>
  <si>
    <t>Income Statement</t>
  </si>
  <si>
    <t>2005</t>
  </si>
  <si>
    <t xml:space="preserve">   % Growth</t>
  </si>
  <si>
    <t>Prepaid Expenses</t>
  </si>
  <si>
    <t>Total Assets</t>
  </si>
  <si>
    <t xml:space="preserve">   EBIT</t>
  </si>
  <si>
    <t xml:space="preserve">   Cash end of period (before Income Tax)</t>
  </si>
  <si>
    <t>Income Tax</t>
  </si>
  <si>
    <t>Ending Cash</t>
  </si>
  <si>
    <t>Business Insurance</t>
  </si>
  <si>
    <t>Cap Table</t>
  </si>
  <si>
    <t>Option Pool</t>
  </si>
  <si>
    <t>Growth %</t>
  </si>
  <si>
    <t>Unit Sales by location</t>
  </si>
  <si>
    <t>Unit Mix:</t>
  </si>
  <si>
    <t xml:space="preserve">     V.V.S.</t>
  </si>
  <si>
    <t xml:space="preserve">     V.V.C.</t>
  </si>
  <si>
    <t>Sales Channel Mix:</t>
  </si>
  <si>
    <t xml:space="preserve">     Diomed</t>
  </si>
  <si>
    <t xml:space="preserve">     Inside Customer Service</t>
  </si>
  <si>
    <t xml:space="preserve">     Direct Field Reps</t>
  </si>
  <si>
    <t xml:space="preserve">     Distributors</t>
  </si>
  <si>
    <t xml:space="preserve">     Discounted Units</t>
  </si>
  <si>
    <t>Sales Breakdown by Model, Sales Channel:</t>
  </si>
  <si>
    <t xml:space="preserve">     Total</t>
  </si>
  <si>
    <t>Comps</t>
  </si>
  <si>
    <t>Sales &amp; Marketing</t>
  </si>
  <si>
    <t>General &amp; Admin</t>
  </si>
  <si>
    <t>R &amp; D</t>
  </si>
  <si>
    <t>Cash Ratio</t>
  </si>
  <si>
    <t>Receivables Turnover</t>
  </si>
  <si>
    <t>Average Collecton Period</t>
  </si>
  <si>
    <t>Days Inventory on Hand</t>
  </si>
  <si>
    <t>Return on Assets</t>
  </si>
  <si>
    <t>Return on Equity</t>
  </si>
  <si>
    <t>Asset Turnover Ratio</t>
  </si>
  <si>
    <t>Deposits on accounts</t>
  </si>
  <si>
    <t>Patents</t>
  </si>
  <si>
    <t xml:space="preserve">   Fanchise and excise taxes</t>
  </si>
  <si>
    <t>Gross Margin %</t>
  </si>
  <si>
    <t>Operating Expenses</t>
  </si>
  <si>
    <t>Collection Days</t>
  </si>
  <si>
    <t>of lease in utilities</t>
  </si>
  <si>
    <t>Rent - Sq ft</t>
  </si>
  <si>
    <t>Capital Expense</t>
  </si>
  <si>
    <t>Depreciation</t>
  </si>
  <si>
    <t>Accumulated</t>
  </si>
  <si>
    <t>TOTAL EXPENSE (w/ depreciation)</t>
  </si>
  <si>
    <t>Inventory Turnover</t>
  </si>
  <si>
    <t>Current Ratio</t>
  </si>
  <si>
    <t>Quick Ratio</t>
  </si>
  <si>
    <t>Inside Cust Service</t>
  </si>
  <si>
    <t>---</t>
  </si>
  <si>
    <t xml:space="preserve"> </t>
  </si>
  <si>
    <t xml:space="preserve">   Fund Raising Expenses</t>
  </si>
  <si>
    <t>CY05</t>
  </si>
  <si>
    <t>CY06</t>
  </si>
  <si>
    <t>CY07</t>
  </si>
  <si>
    <t>CY08</t>
  </si>
  <si>
    <t>CY09</t>
  </si>
  <si>
    <t>Market Sizes</t>
  </si>
  <si>
    <t>Hospitals (Pediatric &amp; General)</t>
  </si>
  <si>
    <t>TOTAL PROJECTED REVENUE</t>
  </si>
  <si>
    <t>15% of Inventory</t>
  </si>
  <si>
    <t>Inventory Turns:</t>
  </si>
  <si>
    <t xml:space="preserve">   COS</t>
  </si>
  <si>
    <t xml:space="preserve">   Ave Inventory</t>
  </si>
  <si>
    <t xml:space="preserve">   Turns</t>
  </si>
  <si>
    <t>2004</t>
  </si>
  <si>
    <t>VNUS</t>
  </si>
  <si>
    <t>Angio-</t>
  </si>
  <si>
    <t>dynamics</t>
  </si>
  <si>
    <t>CASH FLOWS FROM FINANCING:</t>
  </si>
  <si>
    <t xml:space="preserve">   Proceeds from Sale of Stock</t>
  </si>
  <si>
    <t xml:space="preserve">   Proceeds from/Payments to Bank</t>
  </si>
  <si>
    <t xml:space="preserve">      Cash (used) provided for financing</t>
  </si>
  <si>
    <t>CHANGES IN CASH</t>
  </si>
  <si>
    <t xml:space="preserve">   Net Increase / (Decrease) in Cash</t>
  </si>
  <si>
    <t xml:space="preserve">   Cash beginning of period</t>
  </si>
  <si>
    <t>2006</t>
  </si>
  <si>
    <t>2007</t>
  </si>
  <si>
    <t>2008</t>
  </si>
  <si>
    <t>Gross Margin</t>
  </si>
  <si>
    <t xml:space="preserve">   % of Sales</t>
  </si>
  <si>
    <t>Total Operating Expense</t>
  </si>
  <si>
    <t>EBIT</t>
  </si>
  <si>
    <t>EBITDA</t>
  </si>
  <si>
    <t>Balance Sheet</t>
  </si>
  <si>
    <t>Current Assets:</t>
  </si>
  <si>
    <t xml:space="preserve">   Cash</t>
  </si>
  <si>
    <t xml:space="preserve">   Trade Receivables</t>
  </si>
  <si>
    <t xml:space="preserve">   Other Receivables</t>
  </si>
  <si>
    <t>Total Equity</t>
  </si>
  <si>
    <t>Accumulated Depreciation</t>
  </si>
  <si>
    <t>Net Fixed Assets</t>
  </si>
  <si>
    <t>Intangibles - Net</t>
  </si>
  <si>
    <t>Average Comp.</t>
  </si>
  <si>
    <t>Year 3</t>
  </si>
  <si>
    <t>Year 4</t>
  </si>
  <si>
    <t>Year 5</t>
  </si>
  <si>
    <t>Current Liabilities:</t>
  </si>
  <si>
    <t xml:space="preserve">   Accounts Payable</t>
  </si>
  <si>
    <t xml:space="preserve">   Accrued Payroll</t>
  </si>
  <si>
    <t>% of Salaries</t>
  </si>
  <si>
    <t xml:space="preserve">   Sales Tax Payable</t>
  </si>
  <si>
    <t>6% of Sales</t>
  </si>
  <si>
    <t>Growth</t>
  </si>
  <si>
    <t>Minor Medical Centers</t>
  </si>
  <si>
    <t>Blood/Plasma Centers</t>
  </si>
  <si>
    <t>Cosmetic Surgery Suites</t>
  </si>
  <si>
    <t>Nuclear Med Facilities</t>
  </si>
  <si>
    <t>Functional Expenses</t>
  </si>
  <si>
    <t xml:space="preserve">   Common Stock</t>
  </si>
  <si>
    <t xml:space="preserve">   Accrued Commissions</t>
  </si>
  <si>
    <t xml:space="preserve">   Notes Payble </t>
  </si>
  <si>
    <t>V.V.S.</t>
  </si>
  <si>
    <t>V.V.C.</t>
  </si>
  <si>
    <t>Revenue</t>
  </si>
  <si>
    <t>Salaries</t>
  </si>
  <si>
    <t>Leadership</t>
  </si>
  <si>
    <t>Management</t>
  </si>
  <si>
    <t xml:space="preserve">   Equity Adjustment</t>
  </si>
  <si>
    <t>Customer Support</t>
  </si>
  <si>
    <t xml:space="preserve">   Accounts Receivable, Net</t>
  </si>
  <si>
    <t xml:space="preserve">   Other Current Assets</t>
  </si>
  <si>
    <t xml:space="preserve">   Other Noncurrent Assets</t>
  </si>
  <si>
    <t xml:space="preserve">   Accrued Payroll &amp; Benefits</t>
  </si>
  <si>
    <t xml:space="preserve">   Other Taxes Payable</t>
  </si>
  <si>
    <t xml:space="preserve">   Other Long Term Liabilities</t>
  </si>
  <si>
    <t xml:space="preserve">      Cash provided by operation activities</t>
  </si>
  <si>
    <t>CASH FLOWS FROM INVESTING:</t>
  </si>
  <si>
    <t xml:space="preserve">   Capital Expenditures</t>
  </si>
  <si>
    <t xml:space="preserve">   Acquisition of Business</t>
  </si>
  <si>
    <t xml:space="preserve">Unit Sales </t>
  </si>
  <si>
    <t xml:space="preserve">Minor Medical Sales </t>
  </si>
  <si>
    <t xml:space="preserve">Blood/Plasma Sales </t>
  </si>
  <si>
    <t xml:space="preserve">Cosmetic Surgery Sales </t>
  </si>
  <si>
    <t xml:space="preserve">Nuclear Med Sales </t>
  </si>
  <si>
    <t xml:space="preserve">Physician Sales </t>
  </si>
  <si>
    <t>Total Unit sales</t>
  </si>
  <si>
    <t>Candidates for VeinViewer Purchases</t>
  </si>
  <si>
    <t>Fixed Assets</t>
  </si>
  <si>
    <t>Headcount</t>
  </si>
  <si>
    <t>Bonus Potential</t>
  </si>
  <si>
    <t>Finance</t>
  </si>
  <si>
    <t>HR</t>
  </si>
  <si>
    <t>Increase</t>
  </si>
  <si>
    <t>Selling and Marketing</t>
  </si>
  <si>
    <t>Salary</t>
  </si>
  <si>
    <t>Bonus</t>
  </si>
  <si>
    <t>Associate</t>
  </si>
  <si>
    <t>Associate Sales</t>
  </si>
  <si>
    <t>Associate Marketing</t>
  </si>
  <si>
    <t>Sales Per Employee</t>
  </si>
  <si>
    <t>Operations</t>
  </si>
  <si>
    <t>Recruiting and Relocation</t>
  </si>
  <si>
    <t>T&amp;E</t>
  </si>
  <si>
    <t>Marketing Materials</t>
  </si>
  <si>
    <t>Outside Services</t>
  </si>
  <si>
    <t>Support</t>
  </si>
  <si>
    <t>Communication Materials</t>
  </si>
  <si>
    <t>TOTAL</t>
  </si>
  <si>
    <t>Physician Offices</t>
  </si>
  <si>
    <t xml:space="preserve">Hospital Sales </t>
  </si>
  <si>
    <t>Potential Facilities</t>
  </si>
  <si>
    <t>Avg. Unit Demand Per Facility</t>
  </si>
  <si>
    <t>Cumulative Penetration</t>
  </si>
  <si>
    <t>Cumulative Units Sold</t>
  </si>
  <si>
    <t>Risk</t>
  </si>
  <si>
    <t>Programmer</t>
  </si>
  <si>
    <t>Web designer</t>
  </si>
  <si>
    <t>CEO</t>
  </si>
  <si>
    <t>Benefits adder</t>
  </si>
  <si>
    <t>Administrative</t>
  </si>
  <si>
    <t>Admin</t>
  </si>
  <si>
    <t>Administration</t>
  </si>
  <si>
    <t>Counsel</t>
  </si>
  <si>
    <t>Employees</t>
  </si>
  <si>
    <t>per sq ft.</t>
  </si>
  <si>
    <t>Servers</t>
  </si>
  <si>
    <t>Furniture / person</t>
  </si>
  <si>
    <t>Computers / person</t>
  </si>
  <si>
    <t>Technology Team</t>
  </si>
  <si>
    <t>Key Employee</t>
  </si>
  <si>
    <t>Ad Revenue</t>
  </si>
  <si>
    <t>Affliate Sales</t>
  </si>
  <si>
    <t>Users</t>
  </si>
  <si>
    <t>Customer Support/Community Management</t>
  </si>
  <si>
    <t>Chairman President</t>
  </si>
  <si>
    <t>Sales and Marketing/Ad Sales</t>
  </si>
  <si>
    <t>Sales &amp; Marketing/Ad Sales</t>
  </si>
  <si>
    <t>Operations (product/software)</t>
  </si>
  <si>
    <t>Fund Raise Round 1</t>
  </si>
  <si>
    <t>Fund Raise Round 2</t>
  </si>
  <si>
    <t>Round 1 Post Money</t>
  </si>
  <si>
    <t>Round 2 Pre Money</t>
  </si>
  <si>
    <t>Round 2 Post Money</t>
  </si>
  <si>
    <t>Round 1 Pre Money</t>
  </si>
  <si>
    <t>Round 1</t>
  </si>
  <si>
    <t>Round 2</t>
  </si>
  <si>
    <t>6 Months</t>
  </si>
  <si>
    <t>Salary + Benfits + Bonus</t>
  </si>
  <si>
    <t>Off Shore/10 People</t>
  </si>
  <si>
    <t>Total Users Per Employee</t>
  </si>
  <si>
    <t>% Users Shopping</t>
  </si>
  <si>
    <t>Business Listing/Preferred Search</t>
  </si>
  <si>
    <t xml:space="preserve">ADDRESSABLE </t>
  </si>
  <si>
    <t>MARKET</t>
  </si>
  <si>
    <t>NOT USED</t>
  </si>
  <si>
    <t>Plus Options Pool</t>
  </si>
  <si>
    <t>Month 1</t>
  </si>
  <si>
    <t>Month 2</t>
  </si>
  <si>
    <t>Month 3</t>
  </si>
  <si>
    <t>Month 4</t>
  </si>
  <si>
    <t>Month 5</t>
  </si>
  <si>
    <t>Month 7</t>
  </si>
  <si>
    <t>Month 8</t>
  </si>
  <si>
    <t>Month 9</t>
  </si>
  <si>
    <t>Month 10</t>
  </si>
  <si>
    <t>Month 11</t>
  </si>
  <si>
    <t>Month 12</t>
  </si>
  <si>
    <t>Month 6</t>
  </si>
  <si>
    <t>Month 13</t>
  </si>
  <si>
    <t>Month 14</t>
  </si>
  <si>
    <t>Month 15</t>
  </si>
  <si>
    <t>Month 16</t>
  </si>
  <si>
    <t>Month 17</t>
  </si>
  <si>
    <t>Month 18</t>
  </si>
  <si>
    <t>Assumptions</t>
  </si>
  <si>
    <t>First 6 Months</t>
  </si>
  <si>
    <t>First Year</t>
  </si>
  <si>
    <t>First 18 Months</t>
  </si>
  <si>
    <t>3rd 6 Month</t>
  </si>
  <si>
    <t>SubTotal</t>
  </si>
  <si>
    <t>2nd 6 Month</t>
  </si>
  <si>
    <t>Per Year</t>
  </si>
  <si>
    <t>NEED BETTER DATA</t>
  </si>
  <si>
    <t>Cost/Listing/Month</t>
  </si>
  <si>
    <t>User Base</t>
  </si>
  <si>
    <t>Business Listing</t>
  </si>
  <si>
    <t>Market Data</t>
  </si>
  <si>
    <t>Annual Ad Rev./User</t>
  </si>
  <si>
    <t>Month Ad Rev./ User</t>
  </si>
  <si>
    <t>Next 6 Months</t>
  </si>
  <si>
    <t>Month</t>
  </si>
  <si>
    <t>Next</t>
  </si>
  <si>
    <t>Month2</t>
  </si>
  <si>
    <t>N 6</t>
  </si>
  <si>
    <t>Revenue Per User Per Unit Time</t>
  </si>
  <si>
    <t xml:space="preserve">Revenue Per Employee </t>
  </si>
  <si>
    <t xml:space="preserve">   Cash end of period (after Income Tax)</t>
  </si>
  <si>
    <t>Yaer 4</t>
  </si>
  <si>
    <t># of Packages</t>
  </si>
  <si>
    <t>Price</t>
  </si>
  <si>
    <t>Extended</t>
  </si>
  <si>
    <t>Set-up</t>
  </si>
  <si>
    <t>Annual Fee</t>
  </si>
  <si>
    <t>Item</t>
  </si>
  <si>
    <t>Quantity Sold</t>
  </si>
  <si>
    <t>Sub Total</t>
  </si>
  <si>
    <t>Page Views</t>
  </si>
  <si>
    <t>Estimate</t>
  </si>
  <si>
    <t>Months of Use</t>
  </si>
  <si>
    <t>Estimate Visits a Month Per User</t>
  </si>
  <si>
    <t>Active Users Per Month</t>
  </si>
  <si>
    <t>Annual Total Estimated Revenue</t>
  </si>
  <si>
    <t>Revenue Per User Per Year</t>
  </si>
  <si>
    <t>Visits Per Month</t>
  </si>
  <si>
    <t>Semi Annual Revenue</t>
  </si>
  <si>
    <t>Other Revenue</t>
  </si>
  <si>
    <t>Example</t>
  </si>
  <si>
    <t>Owner</t>
  </si>
  <si>
    <t>Partner</t>
  </si>
  <si>
    <t>Compared to Another Firm</t>
  </si>
  <si>
    <t>Revenue Comparison</t>
  </si>
  <si>
    <t>Pages per Visit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</si>
</sst>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;@"/>
    <numFmt numFmtId="167" formatCode="0.0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* #,##0_);_(* \(#,##0\);_(* &quot;-&quot;?_);_(@_)"/>
    <numFmt numFmtId="172" formatCode="_(&quot;$&quot;* #,##0.0_);_(&quot;$&quot;* \(#,##0.0\);_(&quot;$&quot;* &quot;-&quot;??_);_(@_)"/>
    <numFmt numFmtId="173" formatCode="0.000000"/>
    <numFmt numFmtId="174" formatCode="0.00000"/>
    <numFmt numFmtId="175" formatCode="0.0000"/>
    <numFmt numFmtId="176" formatCode="0.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0"/>
    <numFmt numFmtId="182" formatCode="[$-409]dddd\,\ mmmm\ dd\,\ yyyy"/>
    <numFmt numFmtId="183" formatCode="[$-409]h:mm:ss\ AM/PM"/>
    <numFmt numFmtId="184" formatCode="&quot;$&quot;#,##0.00"/>
    <numFmt numFmtId="185" formatCode="_(&quot;$&quot;* #,##0.000_);_(&quot;$&quot;* \(#,##0.000\);_(&quot;$&quot;* &quot;-&quot;??_);_(@_)"/>
    <numFmt numFmtId="186" formatCode="0.000%"/>
    <numFmt numFmtId="187" formatCode="0.00000000"/>
    <numFmt numFmtId="188" formatCode="&quot;$&quot;#,##0.000_);[Red]\(&quot;$&quot;#,##0.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u val="singleAccounting"/>
      <sz val="10"/>
      <name val="Arial"/>
      <family val="2"/>
    </font>
    <font>
      <u val="single"/>
      <sz val="10"/>
      <color indexed="18"/>
      <name val="Arial"/>
      <family val="2"/>
    </font>
    <font>
      <b/>
      <sz val="8"/>
      <color indexed="12"/>
      <name val="Arial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8"/>
      <name val="Arial"/>
      <family val="0"/>
    </font>
    <font>
      <b/>
      <sz val="11.75"/>
      <color indexed="8"/>
      <name val="Arial"/>
      <family val="0"/>
    </font>
    <font>
      <sz val="8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5" fontId="3" fillId="0" borderId="0" xfId="42" applyNumberFormat="1" applyFont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165" fontId="3" fillId="0" borderId="0" xfId="42" applyNumberFormat="1" applyFont="1" applyAlignment="1">
      <alignment/>
    </xf>
    <xf numFmtId="165" fontId="3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6" fontId="4" fillId="0" borderId="0" xfId="42" applyNumberFormat="1" applyFont="1" applyFill="1" applyAlignment="1">
      <alignment/>
    </xf>
    <xf numFmtId="165" fontId="3" fillId="0" borderId="11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165" fontId="6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42" applyNumberFormat="1" applyFont="1" applyFill="1" applyAlignment="1">
      <alignment horizontal="center"/>
    </xf>
    <xf numFmtId="165" fontId="7" fillId="0" borderId="0" xfId="42" applyNumberFormat="1" applyFont="1" applyFill="1" applyBorder="1" applyAlignment="1">
      <alignment/>
    </xf>
    <xf numFmtId="9" fontId="0" fillId="0" borderId="0" xfId="61" applyFont="1" applyAlignment="1">
      <alignment/>
    </xf>
    <xf numFmtId="165" fontId="3" fillId="0" borderId="0" xfId="42" applyNumberFormat="1" applyFont="1" applyFill="1" applyAlignment="1" quotePrefix="1">
      <alignment horizontal="center"/>
    </xf>
    <xf numFmtId="164" fontId="7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3" fillId="0" borderId="10" xfId="42" applyNumberFormat="1" applyFont="1" applyBorder="1" applyAlignment="1" quotePrefix="1">
      <alignment horizontal="center"/>
    </xf>
    <xf numFmtId="165" fontId="3" fillId="0" borderId="10" xfId="42" applyNumberFormat="1" applyFont="1" applyFill="1" applyBorder="1" applyAlignment="1" quotePrefix="1">
      <alignment horizontal="center"/>
    </xf>
    <xf numFmtId="168" fontId="0" fillId="0" borderId="0" xfId="61" applyNumberFormat="1" applyFont="1" applyAlignment="1">
      <alignment/>
    </xf>
    <xf numFmtId="164" fontId="0" fillId="0" borderId="0" xfId="42" applyNumberFormat="1" applyFont="1" applyAlignment="1">
      <alignment/>
    </xf>
    <xf numFmtId="165" fontId="3" fillId="0" borderId="0" xfId="42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169" fontId="0" fillId="0" borderId="12" xfId="44" applyNumberFormat="1" applyFont="1" applyBorder="1" applyAlignment="1">
      <alignment/>
    </xf>
    <xf numFmtId="165" fontId="3" fillId="0" borderId="0" xfId="42" applyNumberFormat="1" applyFont="1" applyAlignment="1" quotePrefix="1">
      <alignment horizontal="center"/>
    </xf>
    <xf numFmtId="169" fontId="0" fillId="0" borderId="0" xfId="0" applyNumberFormat="1" applyAlignment="1">
      <alignment/>
    </xf>
    <xf numFmtId="164" fontId="0" fillId="0" borderId="0" xfId="42" applyNumberFormat="1" applyFont="1" applyAlignment="1" quotePrefix="1">
      <alignment horizontal="right"/>
    </xf>
    <xf numFmtId="0" fontId="10" fillId="0" borderId="0" xfId="57" applyFont="1" applyBorder="1">
      <alignment/>
      <protection/>
    </xf>
    <xf numFmtId="0" fontId="9" fillId="0" borderId="0" xfId="57">
      <alignment/>
      <protection/>
    </xf>
    <xf numFmtId="0" fontId="11" fillId="0" borderId="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12" fillId="33" borderId="13" xfId="57" applyFont="1" applyFill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center"/>
      <protection/>
    </xf>
    <xf numFmtId="0" fontId="13" fillId="33" borderId="14" xfId="57" applyFont="1" applyFill="1" applyBorder="1" applyAlignment="1">
      <alignment horizontal="center"/>
      <protection/>
    </xf>
    <xf numFmtId="0" fontId="10" fillId="0" borderId="0" xfId="57" applyFont="1">
      <alignment/>
      <protection/>
    </xf>
    <xf numFmtId="0" fontId="9" fillId="0" borderId="0" xfId="57" applyBorder="1">
      <alignment/>
      <protection/>
    </xf>
    <xf numFmtId="165" fontId="8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/>
    </xf>
    <xf numFmtId="165" fontId="2" fillId="34" borderId="0" xfId="42" applyNumberFormat="1" applyFont="1" applyFill="1" applyBorder="1" applyAlignment="1">
      <alignment/>
    </xf>
    <xf numFmtId="165" fontId="14" fillId="34" borderId="0" xfId="42" applyNumberFormat="1" applyFont="1" applyFill="1" applyBorder="1" applyAlignment="1">
      <alignment horizontal="right"/>
    </xf>
    <xf numFmtId="9" fontId="14" fillId="0" borderId="0" xfId="61" applyNumberFormat="1" applyFont="1" applyBorder="1" applyAlignment="1">
      <alignment/>
    </xf>
    <xf numFmtId="0" fontId="2" fillId="0" borderId="15" xfId="57" applyFont="1" applyBorder="1">
      <alignment/>
      <protection/>
    </xf>
    <xf numFmtId="0" fontId="2" fillId="0" borderId="0" xfId="57" applyFont="1" applyBorder="1">
      <alignment/>
      <protection/>
    </xf>
    <xf numFmtId="165" fontId="2" fillId="34" borderId="0" xfId="42" applyNumberFormat="1" applyFont="1" applyFill="1" applyBorder="1" applyAlignment="1">
      <alignment horizontal="right"/>
    </xf>
    <xf numFmtId="165" fontId="15" fillId="34" borderId="0" xfId="42" applyNumberFormat="1" applyFont="1" applyFill="1" applyBorder="1" applyAlignment="1">
      <alignment horizontal="left" indent="1"/>
    </xf>
    <xf numFmtId="168" fontId="2" fillId="34" borderId="0" xfId="61" applyNumberFormat="1" applyFont="1" applyFill="1" applyBorder="1" applyAlignment="1">
      <alignment horizontal="right"/>
    </xf>
    <xf numFmtId="10" fontId="14" fillId="34" borderId="0" xfId="61" applyNumberFormat="1" applyFont="1" applyFill="1" applyBorder="1" applyAlignment="1">
      <alignment horizontal="right"/>
    </xf>
    <xf numFmtId="165" fontId="2" fillId="0" borderId="0" xfId="42" applyNumberFormat="1" applyFont="1" applyAlignment="1">
      <alignment/>
    </xf>
    <xf numFmtId="165" fontId="2" fillId="34" borderId="0" xfId="42" applyNumberFormat="1" applyFont="1" applyFill="1" applyAlignment="1">
      <alignment/>
    </xf>
    <xf numFmtId="165" fontId="14" fillId="34" borderId="0" xfId="42" applyNumberFormat="1" applyFont="1" applyFill="1" applyAlignment="1">
      <alignment/>
    </xf>
    <xf numFmtId="165" fontId="2" fillId="34" borderId="0" xfId="42" applyNumberFormat="1" applyFont="1" applyFill="1" applyAlignment="1">
      <alignment/>
    </xf>
    <xf numFmtId="165" fontId="2" fillId="34" borderId="0" xfId="42" applyNumberFormat="1" applyFont="1" applyFill="1" applyBorder="1" applyAlignment="1">
      <alignment horizontal="left"/>
    </xf>
    <xf numFmtId="3" fontId="2" fillId="34" borderId="0" xfId="61" applyNumberFormat="1" applyFont="1" applyFill="1" applyBorder="1" applyAlignment="1">
      <alignment horizontal="right"/>
    </xf>
    <xf numFmtId="3" fontId="2" fillId="34" borderId="0" xfId="61" applyNumberFormat="1" applyFont="1" applyFill="1" applyBorder="1" applyAlignment="1">
      <alignment horizontal="right"/>
    </xf>
    <xf numFmtId="0" fontId="9" fillId="34" borderId="0" xfId="57" applyFill="1">
      <alignment/>
      <protection/>
    </xf>
    <xf numFmtId="165" fontId="10" fillId="0" borderId="0" xfId="42" applyNumberFormat="1" applyFont="1" applyAlignment="1">
      <alignment/>
    </xf>
    <xf numFmtId="165" fontId="8" fillId="0" borderId="0" xfId="42" applyNumberFormat="1" applyFont="1" applyAlignment="1">
      <alignment/>
    </xf>
    <xf numFmtId="165" fontId="2" fillId="0" borderId="0" xfId="42" applyNumberFormat="1" applyFont="1" applyFill="1" applyAlignment="1">
      <alignment horizontal="right"/>
    </xf>
    <xf numFmtId="37" fontId="2" fillId="0" borderId="0" xfId="58" applyNumberFormat="1" applyFont="1">
      <alignment/>
      <protection/>
    </xf>
    <xf numFmtId="165" fontId="2" fillId="0" borderId="0" xfId="42" applyNumberFormat="1" applyFont="1" applyFill="1" applyAlignment="1">
      <alignment horizontal="right"/>
    </xf>
    <xf numFmtId="165" fontId="14" fillId="0" borderId="0" xfId="42" applyNumberFormat="1" applyFont="1" applyFill="1" applyAlignment="1">
      <alignment horizontal="right"/>
    </xf>
    <xf numFmtId="37" fontId="2" fillId="0" borderId="0" xfId="58" applyNumberFormat="1" applyFont="1" applyFill="1">
      <alignment/>
      <protection/>
    </xf>
    <xf numFmtId="10" fontId="14" fillId="0" borderId="0" xfId="61" applyNumberFormat="1" applyFont="1" applyBorder="1" applyAlignment="1">
      <alignment/>
    </xf>
    <xf numFmtId="10" fontId="14" fillId="0" borderId="0" xfId="61" applyNumberFormat="1" applyFont="1" applyFill="1" applyBorder="1" applyAlignment="1">
      <alignment/>
    </xf>
    <xf numFmtId="10" fontId="2" fillId="0" borderId="0" xfId="61" applyNumberFormat="1" applyFont="1" applyFill="1" applyAlignment="1">
      <alignment horizontal="right"/>
    </xf>
    <xf numFmtId="168" fontId="14" fillId="0" borderId="0" xfId="61" applyNumberFormat="1" applyFont="1" applyFill="1" applyAlignment="1">
      <alignment horizontal="right"/>
    </xf>
    <xf numFmtId="165" fontId="2" fillId="0" borderId="16" xfId="42" applyNumberFormat="1" applyFont="1" applyFill="1" applyBorder="1" applyAlignment="1">
      <alignment horizontal="right"/>
    </xf>
    <xf numFmtId="165" fontId="8" fillId="0" borderId="0" xfId="42" applyNumberFormat="1" applyFont="1" applyFill="1" applyBorder="1" applyAlignment="1">
      <alignment horizontal="left"/>
    </xf>
    <xf numFmtId="0" fontId="9" fillId="0" borderId="0" xfId="57" applyFill="1">
      <alignment/>
      <protection/>
    </xf>
    <xf numFmtId="0" fontId="2" fillId="0" borderId="0" xfId="57" applyFont="1">
      <alignment/>
      <protection/>
    </xf>
    <xf numFmtId="0" fontId="8" fillId="0" borderId="0" xfId="57" applyFont="1">
      <alignment/>
      <protection/>
    </xf>
    <xf numFmtId="165" fontId="8" fillId="0" borderId="0" xfId="42" applyNumberFormat="1" applyFont="1" applyFill="1" applyBorder="1" applyAlignment="1">
      <alignment horizontal="left"/>
    </xf>
    <xf numFmtId="170" fontId="2" fillId="0" borderId="0" xfId="57" applyNumberFormat="1" applyFont="1" applyFill="1" applyBorder="1">
      <alignment/>
      <protection/>
    </xf>
    <xf numFmtId="37" fontId="8" fillId="0" borderId="0" xfId="58" applyNumberFormat="1" applyFont="1">
      <alignment/>
      <protection/>
    </xf>
    <xf numFmtId="165" fontId="2" fillId="0" borderId="17" xfId="57" applyNumberFormat="1" applyFont="1" applyBorder="1">
      <alignment/>
      <protection/>
    </xf>
    <xf numFmtId="3" fontId="2" fillId="0" borderId="0" xfId="57" applyNumberFormat="1" applyFont="1">
      <alignment/>
      <protection/>
    </xf>
    <xf numFmtId="165" fontId="9" fillId="0" borderId="0" xfId="57" applyNumberFormat="1">
      <alignment/>
      <protection/>
    </xf>
    <xf numFmtId="9" fontId="2" fillId="0" borderId="0" xfId="61" applyFont="1" applyAlignment="1">
      <alignment/>
    </xf>
    <xf numFmtId="9" fontId="14" fillId="0" borderId="0" xfId="61" applyFont="1" applyFill="1" applyAlignment="1">
      <alignment horizontal="right"/>
    </xf>
    <xf numFmtId="168" fontId="14" fillId="0" borderId="0" xfId="61" applyNumberFormat="1" applyFont="1" applyBorder="1" applyAlignment="1">
      <alignment/>
    </xf>
    <xf numFmtId="9" fontId="2" fillId="0" borderId="0" xfId="61" applyFont="1" applyFill="1" applyAlignment="1">
      <alignment horizontal="right"/>
    </xf>
    <xf numFmtId="0" fontId="9" fillId="0" borderId="15" xfId="57" applyBorder="1">
      <alignment/>
      <protection/>
    </xf>
    <xf numFmtId="165" fontId="2" fillId="0" borderId="0" xfId="57" applyNumberFormat="1" applyFont="1">
      <alignment/>
      <protection/>
    </xf>
    <xf numFmtId="0" fontId="5" fillId="0" borderId="0" xfId="0" applyFont="1" applyAlignment="1">
      <alignment/>
    </xf>
    <xf numFmtId="165" fontId="0" fillId="0" borderId="0" xfId="42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4" xfId="42" applyNumberFormat="1" applyFont="1" applyBorder="1" applyAlignment="1">
      <alignment/>
    </xf>
    <xf numFmtId="9" fontId="4" fillId="0" borderId="0" xfId="61" applyFont="1" applyFill="1" applyAlignment="1">
      <alignment/>
    </xf>
    <xf numFmtId="9" fontId="5" fillId="0" borderId="0" xfId="61" applyFont="1" applyFill="1" applyAlignment="1">
      <alignment/>
    </xf>
    <xf numFmtId="1" fontId="0" fillId="0" borderId="0" xfId="0" applyNumberFormat="1" applyAlignment="1">
      <alignment/>
    </xf>
    <xf numFmtId="165" fontId="5" fillId="0" borderId="0" xfId="42" applyNumberFormat="1" applyFont="1" applyFill="1" applyAlignment="1">
      <alignment/>
    </xf>
    <xf numFmtId="9" fontId="0" fillId="0" borderId="0" xfId="61" applyNumberFormat="1" applyFont="1" applyAlignment="1">
      <alignment/>
    </xf>
    <xf numFmtId="9" fontId="3" fillId="0" borderId="0" xfId="61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Fill="1" applyAlignment="1">
      <alignment horizontal="left"/>
    </xf>
    <xf numFmtId="2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22" fontId="3" fillId="0" borderId="0" xfId="0" applyNumberFormat="1" applyFont="1" applyBorder="1" applyAlignment="1">
      <alignment horizontal="left"/>
    </xf>
    <xf numFmtId="165" fontId="0" fillId="0" borderId="0" xfId="42" applyNumberFormat="1" applyFont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8" fontId="0" fillId="0" borderId="18" xfId="61" applyNumberFormat="1" applyFont="1" applyBorder="1" applyAlignment="1">
      <alignment/>
    </xf>
    <xf numFmtId="168" fontId="0" fillId="0" borderId="20" xfId="61" applyNumberFormat="1" applyFont="1" applyBorder="1" applyAlignment="1">
      <alignment/>
    </xf>
    <xf numFmtId="9" fontId="0" fillId="0" borderId="0" xfId="61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9" fontId="0" fillId="0" borderId="0" xfId="44" applyNumberFormat="1" applyFont="1" applyAlignment="1">
      <alignment/>
    </xf>
    <xf numFmtId="22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65" fontId="18" fillId="0" borderId="0" xfId="42" applyNumberFormat="1" applyFont="1" applyAlignment="1">
      <alignment/>
    </xf>
    <xf numFmtId="165" fontId="18" fillId="0" borderId="0" xfId="42" applyNumberFormat="1" applyFont="1" applyBorder="1" applyAlignment="1">
      <alignment/>
    </xf>
    <xf numFmtId="9" fontId="17" fillId="0" borderId="0" xfId="61" applyNumberFormat="1" applyFont="1" applyAlignment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17" fillId="0" borderId="0" xfId="42" applyNumberFormat="1" applyFont="1" applyAlignment="1" applyProtection="1">
      <alignment/>
      <protection/>
    </xf>
    <xf numFmtId="9" fontId="17" fillId="0" borderId="0" xfId="61" applyNumberFormat="1" applyFont="1" applyAlignment="1">
      <alignment/>
    </xf>
    <xf numFmtId="165" fontId="19" fillId="0" borderId="0" xfId="42" applyNumberFormat="1" applyFont="1" applyBorder="1" applyAlignment="1">
      <alignment/>
    </xf>
    <xf numFmtId="165" fontId="8" fillId="0" borderId="0" xfId="42" applyNumberFormat="1" applyFont="1" applyBorder="1" applyAlignment="1">
      <alignment/>
    </xf>
    <xf numFmtId="1" fontId="0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165" fontId="7" fillId="0" borderId="0" xfId="42" applyNumberFormat="1" applyFont="1" applyBorder="1" applyAlignment="1">
      <alignment/>
    </xf>
    <xf numFmtId="165" fontId="2" fillId="0" borderId="0" xfId="42" applyNumberFormat="1" applyFont="1" applyAlignment="1" applyProtection="1">
      <alignment/>
      <protection/>
    </xf>
    <xf numFmtId="165" fontId="2" fillId="0" borderId="0" xfId="42" applyNumberFormat="1" applyFont="1" applyBorder="1" applyAlignment="1" applyProtection="1">
      <alignment/>
      <protection/>
    </xf>
    <xf numFmtId="0" fontId="0" fillId="0" borderId="0" xfId="0" applyAlignment="1">
      <alignment horizontal="center" wrapText="1"/>
    </xf>
    <xf numFmtId="22" fontId="3" fillId="0" borderId="0" xfId="0" applyNumberFormat="1" applyFont="1" applyBorder="1" applyAlignment="1" applyProtection="1">
      <alignment horizontal="center"/>
      <protection locked="0"/>
    </xf>
    <xf numFmtId="165" fontId="0" fillId="0" borderId="14" xfId="42" applyNumberFormat="1" applyFont="1" applyBorder="1" applyAlignment="1">
      <alignment/>
    </xf>
    <xf numFmtId="22" fontId="3" fillId="0" borderId="0" xfId="0" applyNumberFormat="1" applyFont="1" applyAlignment="1" applyProtection="1">
      <alignment horizontal="left"/>
      <protection locked="0"/>
    </xf>
    <xf numFmtId="165" fontId="0" fillId="0" borderId="18" xfId="42" applyNumberFormat="1" applyFont="1" applyBorder="1" applyAlignment="1">
      <alignment horizontal="left"/>
    </xf>
    <xf numFmtId="165" fontId="3" fillId="0" borderId="18" xfId="42" applyNumberFormat="1" applyFont="1" applyBorder="1" applyAlignment="1">
      <alignment horizontal="left"/>
    </xf>
    <xf numFmtId="165" fontId="3" fillId="0" borderId="18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165" fontId="17" fillId="0" borderId="0" xfId="42" applyNumberFormat="1" applyFont="1" applyBorder="1" applyAlignment="1">
      <alignment/>
    </xf>
    <xf numFmtId="165" fontId="0" fillId="0" borderId="0" xfId="42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8" fontId="0" fillId="0" borderId="0" xfId="61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17" fillId="0" borderId="11" xfId="42" applyNumberFormat="1" applyFont="1" applyBorder="1" applyAlignment="1">
      <alignment/>
    </xf>
    <xf numFmtId="0" fontId="0" fillId="0" borderId="0" xfId="0" applyAlignment="1">
      <alignment horizontal="right"/>
    </xf>
    <xf numFmtId="165" fontId="0" fillId="0" borderId="0" xfId="42" applyNumberFormat="1" applyFont="1" applyAlignment="1">
      <alignment horizontal="center"/>
    </xf>
    <xf numFmtId="9" fontId="22" fillId="0" borderId="0" xfId="61" applyFont="1" applyAlignment="1">
      <alignment horizontal="center"/>
    </xf>
    <xf numFmtId="169" fontId="22" fillId="0" borderId="0" xfId="44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3" fillId="0" borderId="0" xfId="42" applyNumberFormat="1" applyFont="1" applyBorder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165" fontId="17" fillId="0" borderId="0" xfId="42" applyNumberFormat="1" applyFont="1" applyAlignment="1">
      <alignment/>
    </xf>
    <xf numFmtId="9" fontId="17" fillId="0" borderId="0" xfId="61" applyFont="1" applyAlignment="1">
      <alignment/>
    </xf>
    <xf numFmtId="169" fontId="17" fillId="0" borderId="0" xfId="44" applyNumberFormat="1" applyFont="1" applyAlignment="1">
      <alignment/>
    </xf>
    <xf numFmtId="9" fontId="17" fillId="0" borderId="0" xfId="61" applyFont="1" applyAlignment="1">
      <alignment horizontal="left"/>
    </xf>
    <xf numFmtId="165" fontId="0" fillId="0" borderId="14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9" fontId="0" fillId="0" borderId="0" xfId="61" applyNumberFormat="1" applyFont="1" applyBorder="1" applyAlignment="1">
      <alignment/>
    </xf>
    <xf numFmtId="165" fontId="23" fillId="0" borderId="0" xfId="42" applyNumberFormat="1" applyFont="1" applyAlignment="1">
      <alignment/>
    </xf>
    <xf numFmtId="165" fontId="17" fillId="0" borderId="0" xfId="42" applyNumberFormat="1" applyFont="1" applyAlignment="1" applyProtection="1">
      <alignment/>
      <protection/>
    </xf>
    <xf numFmtId="9" fontId="17" fillId="0" borderId="0" xfId="61" applyNumberFormat="1" applyFont="1" applyAlignment="1" applyProtection="1">
      <alignment/>
      <protection/>
    </xf>
    <xf numFmtId="9" fontId="17" fillId="0" borderId="0" xfId="61" applyNumberFormat="1" applyFont="1" applyAlignment="1">
      <alignment/>
    </xf>
    <xf numFmtId="169" fontId="0" fillId="0" borderId="0" xfId="0" applyNumberFormat="1" applyFont="1" applyAlignment="1">
      <alignment/>
    </xf>
    <xf numFmtId="169" fontId="25" fillId="0" borderId="0" xfId="44" applyNumberFormat="1" applyFont="1" applyAlignment="1">
      <alignment/>
    </xf>
    <xf numFmtId="169" fontId="23" fillId="0" borderId="0" xfId="44" applyNumberFormat="1" applyFont="1" applyAlignment="1">
      <alignment/>
    </xf>
    <xf numFmtId="9" fontId="0" fillId="0" borderId="14" xfId="61" applyNumberFormat="1" applyFont="1" applyBorder="1" applyAlignment="1">
      <alignment/>
    </xf>
    <xf numFmtId="165" fontId="18" fillId="0" borderId="14" xfId="42" applyNumberFormat="1" applyFont="1" applyBorder="1" applyAlignment="1">
      <alignment/>
    </xf>
    <xf numFmtId="165" fontId="19" fillId="0" borderId="14" xfId="42" applyNumberFormat="1" applyFont="1" applyBorder="1" applyAlignment="1">
      <alignment/>
    </xf>
    <xf numFmtId="0" fontId="18" fillId="0" borderId="14" xfId="0" applyNumberFormat="1" applyFont="1" applyBorder="1" applyAlignment="1">
      <alignment/>
    </xf>
    <xf numFmtId="169" fontId="0" fillId="0" borderId="12" xfId="44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3" fillId="0" borderId="22" xfId="42" applyNumberFormat="1" applyFont="1" applyBorder="1" applyAlignment="1">
      <alignment horizontal="left"/>
    </xf>
    <xf numFmtId="165" fontId="6" fillId="0" borderId="0" xfId="4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23" fillId="0" borderId="0" xfId="42" applyNumberFormat="1" applyFont="1" applyAlignment="1">
      <alignment horizontal="center"/>
    </xf>
    <xf numFmtId="164" fontId="0" fillId="0" borderId="14" xfId="42" applyNumberFormat="1" applyFont="1" applyBorder="1" applyAlignment="1">
      <alignment/>
    </xf>
    <xf numFmtId="0" fontId="3" fillId="0" borderId="0" xfId="0" applyFont="1" applyAlignment="1">
      <alignment/>
    </xf>
    <xf numFmtId="165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9" fontId="3" fillId="0" borderId="0" xfId="61" applyNumberFormat="1" applyFont="1" applyAlignment="1" applyProtection="1">
      <alignment horizontal="left"/>
      <protection locked="0"/>
    </xf>
    <xf numFmtId="44" fontId="0" fillId="0" borderId="0" xfId="44" applyFont="1" applyAlignment="1">
      <alignment/>
    </xf>
    <xf numFmtId="43" fontId="0" fillId="0" borderId="12" xfId="0" applyNumberFormat="1" applyBorder="1" applyAlignment="1">
      <alignment/>
    </xf>
    <xf numFmtId="169" fontId="0" fillId="0" borderId="14" xfId="44" applyNumberFormat="1" applyFont="1" applyBorder="1" applyAlignment="1">
      <alignment/>
    </xf>
    <xf numFmtId="165" fontId="3" fillId="0" borderId="22" xfId="42" applyNumberFormat="1" applyFont="1" applyBorder="1" applyAlignment="1">
      <alignment horizontal="center"/>
    </xf>
    <xf numFmtId="165" fontId="7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61" applyNumberFormat="1" applyFont="1" applyAlignment="1">
      <alignment/>
    </xf>
    <xf numFmtId="0" fontId="18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3" fontId="18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0" xfId="44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10" fontId="0" fillId="0" borderId="10" xfId="61" applyNumberFormat="1" applyFont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61" applyFont="1" applyBorder="1" applyAlignment="1">
      <alignment/>
    </xf>
    <xf numFmtId="168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2" fontId="3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left"/>
    </xf>
    <xf numFmtId="165" fontId="0" fillId="0" borderId="10" xfId="42" applyNumberFormat="1" applyFont="1" applyBorder="1" applyAlignment="1" applyProtection="1">
      <alignment/>
      <protection locked="0"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44" fontId="0" fillId="0" borderId="10" xfId="44" applyFont="1" applyBorder="1" applyAlignment="1" applyProtection="1">
      <alignment/>
      <protection locked="0"/>
    </xf>
    <xf numFmtId="165" fontId="0" fillId="0" borderId="10" xfId="42" applyNumberFormat="1" applyFont="1" applyBorder="1" applyAlignment="1" applyProtection="1" quotePrefix="1">
      <alignment/>
      <protection locked="0"/>
    </xf>
    <xf numFmtId="165" fontId="0" fillId="0" borderId="10" xfId="42" applyNumberFormat="1" applyFont="1" applyBorder="1" applyAlignment="1" quotePrefix="1">
      <alignment/>
    </xf>
    <xf numFmtId="165" fontId="0" fillId="0" borderId="10" xfId="42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69" fontId="17" fillId="0" borderId="14" xfId="44" applyNumberFormat="1" applyFont="1" applyBorder="1" applyAlignment="1">
      <alignment/>
    </xf>
    <xf numFmtId="9" fontId="17" fillId="0" borderId="14" xfId="61" applyFont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23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43" fontId="5" fillId="0" borderId="11" xfId="42" applyNumberFormat="1" applyFont="1" applyBorder="1" applyAlignment="1">
      <alignment/>
    </xf>
    <xf numFmtId="43" fontId="5" fillId="0" borderId="23" xfId="42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24" xfId="0" applyNumberFormat="1" applyBorder="1" applyAlignment="1">
      <alignment/>
    </xf>
    <xf numFmtId="169" fontId="0" fillId="0" borderId="11" xfId="44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23" xfId="42" applyNumberFormat="1" applyFont="1" applyBorder="1" applyAlignment="1">
      <alignment/>
    </xf>
    <xf numFmtId="169" fontId="0" fillId="0" borderId="0" xfId="44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6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9" fontId="0" fillId="0" borderId="10" xfId="44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9" fontId="0" fillId="0" borderId="10" xfId="61" applyFont="1" applyBorder="1" applyAlignment="1">
      <alignment horizontal="center"/>
    </xf>
    <xf numFmtId="186" fontId="0" fillId="0" borderId="10" xfId="61" applyNumberFormat="1" applyFont="1" applyBorder="1" applyAlignment="1">
      <alignment horizontal="center"/>
    </xf>
    <xf numFmtId="168" fontId="0" fillId="0" borderId="10" xfId="61" applyNumberFormat="1" applyFont="1" applyBorder="1" applyAlignment="1">
      <alignment horizontal="center"/>
    </xf>
    <xf numFmtId="9" fontId="22" fillId="0" borderId="10" xfId="61" applyFont="1" applyBorder="1" applyAlignment="1">
      <alignment horizontal="center"/>
    </xf>
    <xf numFmtId="0" fontId="0" fillId="0" borderId="10" xfId="44" applyNumberFormat="1" applyFont="1" applyBorder="1" applyAlignment="1">
      <alignment horizontal="right"/>
    </xf>
    <xf numFmtId="0" fontId="16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4" fontId="0" fillId="0" borderId="10" xfId="44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10" fontId="0" fillId="0" borderId="10" xfId="61" applyNumberFormat="1" applyFont="1" applyBorder="1" applyAlignment="1">
      <alignment horizontal="right"/>
    </xf>
    <xf numFmtId="9" fontId="0" fillId="0" borderId="10" xfId="6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0" xfId="44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44" applyNumberFormat="1" applyFont="1" applyBorder="1" applyAlignment="1">
      <alignment/>
    </xf>
    <xf numFmtId="9" fontId="17" fillId="0" borderId="10" xfId="61" applyFont="1" applyBorder="1" applyAlignment="1">
      <alignment horizontal="center"/>
    </xf>
    <xf numFmtId="0" fontId="0" fillId="0" borderId="10" xfId="61" applyNumberFormat="1" applyFont="1" applyBorder="1" applyAlignment="1">
      <alignment/>
    </xf>
    <xf numFmtId="6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44" fontId="0" fillId="0" borderId="10" xfId="0" applyNumberForma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jections" xfId="57"/>
    <cellStyle name="Normal_Projections 9 28 04-Final to MD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Sales ($000)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095"/>
          <c:w val="0.98975"/>
          <c:h val="0.81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'Sales Comment'!$A$4</c:f>
              <c:strCache>
                <c:ptCount val="1"/>
                <c:pt idx="0">
                  <c:v>Diomed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Comment'!$B$4:$F$4</c:f>
              <c:numCache/>
            </c:numRef>
          </c:val>
          <c:shape val="box"/>
        </c:ser>
        <c:ser>
          <c:idx val="1"/>
          <c:order val="1"/>
          <c:tx>
            <c:strRef>
              <c:f>'Sales Comment'!$A$5</c:f>
              <c:strCache>
                <c:ptCount val="1"/>
                <c:pt idx="0">
                  <c:v>Inside Cust Service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Comment'!$B$5:$F$5</c:f>
              <c:numCache/>
            </c:numRef>
          </c:val>
          <c:shape val="box"/>
        </c:ser>
        <c:ser>
          <c:idx val="2"/>
          <c:order val="2"/>
          <c:tx>
            <c:strRef>
              <c:f>'Sales Comment'!$A$6</c:f>
              <c:strCache>
                <c:ptCount val="1"/>
                <c:pt idx="0">
                  <c:v>Direct Field Reps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Comment'!$B$6:$F$6</c:f>
              <c:numCache/>
            </c:numRef>
          </c:val>
          <c:shape val="box"/>
        </c:ser>
        <c:ser>
          <c:idx val="3"/>
          <c:order val="3"/>
          <c:tx>
            <c:strRef>
              <c:f>'Sales Comment'!$A$7</c:f>
              <c:strCache>
                <c:ptCount val="1"/>
                <c:pt idx="0">
                  <c:v>Distributors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Comment'!$B$7:$F$7</c:f>
              <c:numCache/>
            </c:numRef>
          </c:val>
          <c:shape val="box"/>
        </c:ser>
        <c:ser>
          <c:idx val="4"/>
          <c:order val="4"/>
          <c:tx>
            <c:strRef>
              <c:f>'Sales Comment'!$A$8</c:f>
              <c:strCache>
                <c:ptCount val="1"/>
                <c:pt idx="0">
                  <c:v>Discounted Units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Comment'!$B$8:$F$8</c:f>
              <c:numCache/>
            </c:numRef>
          </c:val>
          <c:shape val="box"/>
        </c:ser>
        <c:overlap val="100"/>
        <c:shape val="box"/>
        <c:axId val="10651795"/>
        <c:axId val="28757292"/>
      </c:bar3DChart>
      <c:catAx>
        <c:axId val="1065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57292"/>
        <c:crosses val="autoZero"/>
        <c:auto val="1"/>
        <c:lblOffset val="100"/>
        <c:tickLblSkip val="1"/>
        <c:noMultiLvlLbl val="0"/>
      </c:catAx>
      <c:valAx>
        <c:axId val="28757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"/>
          <c:y val="0.93525"/>
          <c:w val="0.854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90825" y="7334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790825" y="7334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790825" y="73342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12</xdr:row>
      <xdr:rowOff>152400</xdr:rowOff>
    </xdr:from>
    <xdr:to>
      <xdr:col>11</xdr:col>
      <xdr:colOff>142875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76650" y="2114550"/>
        <a:ext cx="57816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2">
      <selection activeCell="AI1" sqref="AI1:AI16384"/>
    </sheetView>
  </sheetViews>
  <sheetFormatPr defaultColWidth="9.140625" defaultRowHeight="12.75"/>
  <cols>
    <col min="1" max="1" width="23.28125" style="3" bestFit="1" customWidth="1"/>
    <col min="2" max="2" width="2.7109375" style="3" customWidth="1"/>
    <col min="3" max="3" width="9.140625" style="3" customWidth="1"/>
    <col min="4" max="6" width="11.28125" style="3" bestFit="1" customWidth="1"/>
    <col min="7" max="7" width="12.28125" style="3" bestFit="1" customWidth="1"/>
    <col min="8" max="8" width="2.7109375" style="3" customWidth="1"/>
    <col min="9" max="16384" width="9.140625" style="3" customWidth="1"/>
  </cols>
  <sheetData>
    <row r="3" spans="3:9" ht="12.75">
      <c r="C3" s="23" t="s">
        <v>51</v>
      </c>
      <c r="D3" s="23" t="s">
        <v>129</v>
      </c>
      <c r="E3" s="23" t="s">
        <v>130</v>
      </c>
      <c r="F3" s="23" t="s">
        <v>131</v>
      </c>
      <c r="G3" s="23" t="s">
        <v>41</v>
      </c>
      <c r="I3" s="2" t="s">
        <v>75</v>
      </c>
    </row>
    <row r="5" spans="1:7" ht="12.75">
      <c r="A5" s="3" t="s">
        <v>43</v>
      </c>
      <c r="C5" s="3" t="e">
        <f>+'P&amp;L'!#REF!</f>
        <v>#REF!</v>
      </c>
      <c r="D5" s="3" t="e">
        <f>+'P&amp;L'!#REF!</f>
        <v>#REF!</v>
      </c>
      <c r="E5" s="3" t="e">
        <f>+'P&amp;L'!#REF!</f>
        <v>#REF!</v>
      </c>
      <c r="F5" s="3" t="e">
        <f>+'P&amp;L'!#REF!</f>
        <v>#REF!</v>
      </c>
      <c r="G5" s="3" t="e">
        <f>+'P&amp;L'!#REF!</f>
        <v>#REF!</v>
      </c>
    </row>
    <row r="7" spans="1:9" ht="12.75">
      <c r="A7" s="3" t="s">
        <v>132</v>
      </c>
      <c r="C7" s="25" t="e">
        <f>+'P&amp;L'!#REF!</f>
        <v>#REF!</v>
      </c>
      <c r="D7" s="25" t="e">
        <f>+'P&amp;L'!#REF!</f>
        <v>#REF!</v>
      </c>
      <c r="E7" s="25" t="e">
        <f>+'P&amp;L'!#REF!</f>
        <v>#REF!</v>
      </c>
      <c r="F7" s="25" t="e">
        <f>+'P&amp;L'!#REF!</f>
        <v>#REF!</v>
      </c>
      <c r="G7" s="25" t="e">
        <f>+'P&amp;L'!#REF!</f>
        <v>#REF!</v>
      </c>
      <c r="I7" s="25">
        <v>0.6355808291727738</v>
      </c>
    </row>
    <row r="8" spans="1:10" ht="12.75">
      <c r="A8" s="3" t="s">
        <v>76</v>
      </c>
      <c r="C8" s="25" t="e">
        <f>IF('P&amp;L'!#REF!=0,0,('P&amp;L'!#REF!+'P&amp;L'!#REF!+'P&amp;L'!#REF!-'P&amp;L'!#REF!)/'P&amp;L'!#REF!)</f>
        <v>#REF!</v>
      </c>
      <c r="D8" s="25" t="e">
        <f>IF('P&amp;L'!#REF!=0,0,('P&amp;L'!#REF!+'P&amp;L'!#REF!+'P&amp;L'!#REF!-'P&amp;L'!#REF!)/'P&amp;L'!#REF!)</f>
        <v>#REF!</v>
      </c>
      <c r="E8" s="25" t="e">
        <f>IF('P&amp;L'!#REF!=0,0,('P&amp;L'!#REF!+'P&amp;L'!#REF!+'P&amp;L'!#REF!-'P&amp;L'!#REF!)/'P&amp;L'!#REF!)</f>
        <v>#REF!</v>
      </c>
      <c r="F8" s="25" t="e">
        <f>IF('P&amp;L'!#REF!=0,0,('P&amp;L'!#REF!+'P&amp;L'!#REF!+'P&amp;L'!#REF!-'P&amp;L'!#REF!)/'P&amp;L'!#REF!)</f>
        <v>#REF!</v>
      </c>
      <c r="G8" s="25" t="e">
        <f>IF('P&amp;L'!#REF!=0,0,('P&amp;L'!#REF!+'P&amp;L'!#REF!+'P&amp;L'!#REF!-'P&amp;L'!#REF!)/'P&amp;L'!#REF!)</f>
        <v>#REF!</v>
      </c>
      <c r="H8" s="25"/>
      <c r="I8" s="25">
        <v>0.45674849407279416</v>
      </c>
      <c r="J8" s="25"/>
    </row>
    <row r="9" spans="1:10" ht="12.75">
      <c r="A9" s="3" t="s">
        <v>77</v>
      </c>
      <c r="C9" s="25" t="e">
        <f>IF('P&amp;L'!#REF!=0,0,'P&amp;L'!#REF!/'P&amp;L'!#REF!)</f>
        <v>#REF!</v>
      </c>
      <c r="D9" s="25" t="e">
        <f>IF('P&amp;L'!#REF!=0,0,'P&amp;L'!#REF!/'P&amp;L'!#REF!)</f>
        <v>#REF!</v>
      </c>
      <c r="E9" s="25" t="e">
        <f>IF('P&amp;L'!#REF!=0,0,'P&amp;L'!#REF!/'P&amp;L'!#REF!)</f>
        <v>#REF!</v>
      </c>
      <c r="F9" s="25" t="e">
        <f>IF('P&amp;L'!#REF!=0,0,'P&amp;L'!#REF!/'P&amp;L'!#REF!)</f>
        <v>#REF!</v>
      </c>
      <c r="G9" s="25" t="e">
        <f>IF('P&amp;L'!#REF!=0,0,'P&amp;L'!#REF!/'P&amp;L'!#REF!)</f>
        <v>#REF!</v>
      </c>
      <c r="H9" s="25"/>
      <c r="I9" s="25">
        <v>0.10004990573091146</v>
      </c>
      <c r="J9" s="25"/>
    </row>
    <row r="10" spans="1:10" ht="12.75">
      <c r="A10" s="3" t="s">
        <v>78</v>
      </c>
      <c r="C10" s="25" t="e">
        <f>IF('P&amp;L'!#REF!=0,0,('P&amp;L'!#REF!+'P&amp;L'!#REF!)/'P&amp;L'!#REF!)</f>
        <v>#REF!</v>
      </c>
      <c r="D10" s="25" t="e">
        <f>IF('P&amp;L'!#REF!=0,0,('P&amp;L'!#REF!+'P&amp;L'!#REF!)/'P&amp;L'!#REF!)</f>
        <v>#REF!</v>
      </c>
      <c r="E10" s="25" t="e">
        <f>IF('P&amp;L'!#REF!=0,0,('P&amp;L'!#REF!+'P&amp;L'!#REF!)/'P&amp;L'!#REF!)</f>
        <v>#REF!</v>
      </c>
      <c r="F10" s="25" t="e">
        <f>IF('P&amp;L'!#REF!=0,0,('P&amp;L'!#REF!+'P&amp;L'!#REF!)/'P&amp;L'!#REF!)</f>
        <v>#REF!</v>
      </c>
      <c r="G10" s="25" t="e">
        <f>IF('P&amp;L'!#REF!=0,0,('P&amp;L'!#REF!+'P&amp;L'!#REF!)/'P&amp;L'!#REF!)</f>
        <v>#REF!</v>
      </c>
      <c r="H10" s="25"/>
      <c r="I10" s="25">
        <v>0.10461178671905888</v>
      </c>
      <c r="J10" s="25"/>
    </row>
    <row r="11" spans="3:10" ht="12.75"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3" t="s">
        <v>99</v>
      </c>
      <c r="C12" s="25" t="e">
        <f>+'Balance Sheet (Intentional Off)'!#REF!/'Balance Sheet (Intentional Off)'!#REF!</f>
        <v>#REF!</v>
      </c>
      <c r="D12" s="25" t="e">
        <f>+'Balance Sheet (Intentional Off)'!#REF!/'Balance Sheet (Intentional Off)'!#REF!</f>
        <v>#REF!</v>
      </c>
      <c r="E12" s="25" t="e">
        <f>+'Balance Sheet (Intentional Off)'!#REF!/'Balance Sheet (Intentional Off)'!#REF!</f>
        <v>#REF!</v>
      </c>
      <c r="F12" s="25" t="e">
        <f>+'Balance Sheet (Intentional Off)'!#REF!/'Balance Sheet (Intentional Off)'!#REF!</f>
        <v>#REF!</v>
      </c>
      <c r="G12" s="25" t="e">
        <f>+'Balance Sheet (Intentional Off)'!#REF!/'Balance Sheet (Intentional Off)'!#REF!</f>
        <v>#REF!</v>
      </c>
      <c r="H12" s="25"/>
      <c r="I12" s="25"/>
      <c r="J12" s="25"/>
    </row>
    <row r="13" spans="1:10" ht="12.75">
      <c r="A13" s="3" t="s">
        <v>100</v>
      </c>
      <c r="C13" s="25" t="e">
        <f>('Balance Sheet (Intentional Off)'!#REF!-'Balance Sheet (Intentional Off)'!#REF!)/'Balance Sheet (Intentional Off)'!#REF!</f>
        <v>#REF!</v>
      </c>
      <c r="D13" s="25" t="e">
        <f>('Balance Sheet (Intentional Off)'!#REF!-'Balance Sheet (Intentional Off)'!#REF!)/'Balance Sheet (Intentional Off)'!#REF!</f>
        <v>#REF!</v>
      </c>
      <c r="E13" s="25" t="e">
        <f>('Balance Sheet (Intentional Off)'!#REF!-'Balance Sheet (Intentional Off)'!#REF!)/'Balance Sheet (Intentional Off)'!#REF!</f>
        <v>#REF!</v>
      </c>
      <c r="F13" s="25" t="e">
        <f>('Balance Sheet (Intentional Off)'!#REF!-'Balance Sheet (Intentional Off)'!#REF!)/'Balance Sheet (Intentional Off)'!#REF!</f>
        <v>#REF!</v>
      </c>
      <c r="G13" s="25" t="e">
        <f>('Balance Sheet (Intentional Off)'!#REF!-'Balance Sheet (Intentional Off)'!#REF!)/'Balance Sheet (Intentional Off)'!#REF!</f>
        <v>#REF!</v>
      </c>
      <c r="H13" s="25"/>
      <c r="I13" s="25"/>
      <c r="J13" s="25"/>
    </row>
    <row r="14" spans="1:10" ht="12.75">
      <c r="A14" s="3" t="s">
        <v>79</v>
      </c>
      <c r="C14" s="25" t="e">
        <f>'Balance Sheet (Intentional Off)'!#REF!/'Balance Sheet (Intentional Off)'!#REF!</f>
        <v>#REF!</v>
      </c>
      <c r="D14" s="25" t="e">
        <f>'Balance Sheet (Intentional Off)'!#REF!/'Balance Sheet (Intentional Off)'!#REF!</f>
        <v>#REF!</v>
      </c>
      <c r="E14" s="25" t="e">
        <f>'Balance Sheet (Intentional Off)'!#REF!/'Balance Sheet (Intentional Off)'!#REF!</f>
        <v>#REF!</v>
      </c>
      <c r="F14" s="25" t="e">
        <f>'Balance Sheet (Intentional Off)'!#REF!/'Balance Sheet (Intentional Off)'!#REF!</f>
        <v>#REF!</v>
      </c>
      <c r="G14" s="25" t="e">
        <f>'Balance Sheet (Intentional Off)'!#REF!/'Balance Sheet (Intentional Off)'!#REF!</f>
        <v>#REF!</v>
      </c>
      <c r="H14" s="25"/>
      <c r="I14" s="25"/>
      <c r="J14" s="25"/>
    </row>
    <row r="16" spans="1:7" ht="12.75">
      <c r="A16" s="3" t="s">
        <v>80</v>
      </c>
      <c r="C16" s="3">
        <v>0</v>
      </c>
      <c r="D16" s="26" t="e">
        <f>'P&amp;L'!#REF!/'Balance Sheet (Intentional Off)'!#REF!</f>
        <v>#REF!</v>
      </c>
      <c r="E16" s="26" t="e">
        <f>'P&amp;L'!#REF!/'Balance Sheet (Intentional Off)'!#REF!</f>
        <v>#REF!</v>
      </c>
      <c r="F16" s="26" t="e">
        <f>'P&amp;L'!#REF!/'Balance Sheet (Intentional Off)'!#REF!</f>
        <v>#REF!</v>
      </c>
      <c r="G16" s="26" t="e">
        <f>'P&amp;L'!#REF!/'Balance Sheet (Intentional Off)'!#REF!</f>
        <v>#REF!</v>
      </c>
    </row>
    <row r="17" spans="1:7" ht="12.75">
      <c r="A17" s="3" t="s">
        <v>81</v>
      </c>
      <c r="C17" s="3">
        <v>0</v>
      </c>
      <c r="D17" s="3" t="e">
        <f>365/D16</f>
        <v>#REF!</v>
      </c>
      <c r="E17" s="3" t="e">
        <f>365/E16</f>
        <v>#REF!</v>
      </c>
      <c r="F17" s="3" t="e">
        <f>365/F16</f>
        <v>#REF!</v>
      </c>
      <c r="G17" s="3" t="e">
        <f>365/G16</f>
        <v>#REF!</v>
      </c>
    </row>
    <row r="18" spans="1:7" ht="12.75">
      <c r="A18" s="3" t="s">
        <v>98</v>
      </c>
      <c r="C18" s="3">
        <v>0</v>
      </c>
      <c r="D18" s="26" t="e">
        <f>-'P&amp;L'!#REF!/(('Balance Sheet (Intentional Off)'!#REF!+'Balance Sheet (Intentional Off)'!#REF!)/2)</f>
        <v>#REF!</v>
      </c>
      <c r="E18" s="26" t="e">
        <f>-'P&amp;L'!#REF!/(('Balance Sheet (Intentional Off)'!#REF!+'Balance Sheet (Intentional Off)'!#REF!)/2)</f>
        <v>#REF!</v>
      </c>
      <c r="F18" s="26" t="e">
        <f>-'P&amp;L'!#REF!/(('Balance Sheet (Intentional Off)'!#REF!+'Balance Sheet (Intentional Off)'!#REF!)/2)</f>
        <v>#REF!</v>
      </c>
      <c r="G18" s="26" t="e">
        <f>-'P&amp;L'!#REF!/(('Balance Sheet (Intentional Off)'!#REF!+'Balance Sheet (Intentional Off)'!#REF!)/2)</f>
        <v>#REF!</v>
      </c>
    </row>
    <row r="19" spans="1:7" ht="12.75">
      <c r="A19" s="3" t="s">
        <v>82</v>
      </c>
      <c r="C19" s="3">
        <v>0</v>
      </c>
      <c r="D19" s="26" t="e">
        <f>(('Balance Sheet (Intentional Off)'!#REF!+'Balance Sheet (Intentional Off)'!#REF!)/2)/(-'P&amp;L'!#REF!/365)</f>
        <v>#REF!</v>
      </c>
      <c r="E19" s="26" t="e">
        <f>1/E18*365</f>
        <v>#REF!</v>
      </c>
      <c r="F19" s="26" t="e">
        <f>1/F18*365</f>
        <v>#REF!</v>
      </c>
      <c r="G19" s="26" t="e">
        <f>1/G18*365</f>
        <v>#REF!</v>
      </c>
    </row>
    <row r="21" spans="1:7" ht="12.75">
      <c r="A21" s="3" t="s">
        <v>83</v>
      </c>
      <c r="C21" s="25" t="e">
        <f>'P&amp;L'!#REF!/'Balance Sheet (Intentional Off)'!#REF!</f>
        <v>#REF!</v>
      </c>
      <c r="D21" s="25" t="e">
        <f>'P&amp;L'!#REF!/'Balance Sheet (Intentional Off)'!#REF!</f>
        <v>#REF!</v>
      </c>
      <c r="E21" s="25" t="e">
        <f>'P&amp;L'!#REF!/'Balance Sheet (Intentional Off)'!#REF!</f>
        <v>#REF!</v>
      </c>
      <c r="F21" s="25" t="e">
        <f>'P&amp;L'!#REF!/'Balance Sheet (Intentional Off)'!#REF!</f>
        <v>#REF!</v>
      </c>
      <c r="G21" s="25" t="e">
        <f>'P&amp;L'!#REF!/'Balance Sheet (Intentional Off)'!#REF!</f>
        <v>#REF!</v>
      </c>
    </row>
    <row r="22" spans="1:7" ht="12.75">
      <c r="A22" s="3" t="s">
        <v>84</v>
      </c>
      <c r="C22" s="25" t="e">
        <f>'P&amp;L'!#REF!/'Balance Sheet (Intentional Off)'!#REF!</f>
        <v>#REF!</v>
      </c>
      <c r="D22" s="25" t="e">
        <f>'P&amp;L'!#REF!/'Balance Sheet (Intentional Off)'!#REF!</f>
        <v>#REF!</v>
      </c>
      <c r="E22" s="25" t="e">
        <f>'P&amp;L'!#REF!/'Balance Sheet (Intentional Off)'!#REF!</f>
        <v>#REF!</v>
      </c>
      <c r="F22" s="25" t="e">
        <f>'P&amp;L'!#REF!/'Balance Sheet (Intentional Off)'!#REF!</f>
        <v>#REF!</v>
      </c>
      <c r="G22" s="25" t="e">
        <f>'P&amp;L'!#REF!/'Balance Sheet (Intentional Off)'!#REF!</f>
        <v>#REF!</v>
      </c>
    </row>
    <row r="23" spans="1:7" ht="12.75">
      <c r="A23" s="3" t="s">
        <v>85</v>
      </c>
      <c r="C23" s="3">
        <v>0</v>
      </c>
      <c r="D23" s="25" t="e">
        <f>'P&amp;L'!#REF!/(('Balance Sheet (Intentional Off)'!#REF!+'Balance Sheet (Intentional Off)'!#REF!)/2)</f>
        <v>#REF!</v>
      </c>
      <c r="E23" s="25" t="e">
        <f>'P&amp;L'!#REF!/(('Balance Sheet (Intentional Off)'!#REF!+'Balance Sheet (Intentional Off)'!#REF!)/2)</f>
        <v>#REF!</v>
      </c>
      <c r="F23" s="25" t="e">
        <f>'P&amp;L'!#REF!/(('Balance Sheet (Intentional Off)'!#REF!+'Balance Sheet (Intentional Off)'!#REF!)/2)</f>
        <v>#REF!</v>
      </c>
      <c r="G23" s="25" t="e">
        <f>'P&amp;L'!#REF!/(('Balance Sheet (Intentional Off)'!#REF!+'Balance Sheet (Intentional Off)'!#REF!)/2)</f>
        <v>#REF!</v>
      </c>
    </row>
  </sheetData>
  <sheetProtection/>
  <printOptions/>
  <pageMargins left="0.77" right="0.26" top="1" bottom="1" header="0.5" footer="0.5"/>
  <pageSetup horizontalDpi="600" verticalDpi="600" orientation="landscape"/>
  <headerFooter alignWithMargins="0">
    <oddHeader>&amp;LConfidential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pane xSplit="1" topLeftCell="B1" activePane="topRight" state="frozen"/>
      <selection pane="topLeft" activeCell="A3" sqref="A3"/>
      <selection pane="topRight" activeCell="A7" sqref="A7"/>
    </sheetView>
  </sheetViews>
  <sheetFormatPr defaultColWidth="10.140625" defaultRowHeight="12.75"/>
  <cols>
    <col min="1" max="1" width="22.57421875" style="0" bestFit="1" customWidth="1"/>
    <col min="2" max="2" width="3.00390625" style="0" customWidth="1"/>
    <col min="3" max="3" width="14.00390625" style="0" bestFit="1" customWidth="1"/>
    <col min="4" max="4" width="14.140625" style="0" bestFit="1" customWidth="1"/>
    <col min="5" max="7" width="14.00390625" style="0" bestFit="1" customWidth="1"/>
    <col min="8" max="8" width="14.140625" style="0" bestFit="1" customWidth="1"/>
    <col min="9" max="9" width="15.140625" style="0" bestFit="1" customWidth="1"/>
    <col min="10" max="10" width="13.421875" style="0" bestFit="1" customWidth="1"/>
    <col min="11" max="11" width="14.00390625" style="0" bestFit="1" customWidth="1"/>
    <col min="12" max="12" width="14.140625" style="0" bestFit="1" customWidth="1"/>
    <col min="13" max="13" width="14.00390625" style="0" bestFit="1" customWidth="1"/>
    <col min="14" max="14" width="13.7109375" style="0" bestFit="1" customWidth="1"/>
    <col min="15" max="17" width="15.140625" style="0" bestFit="1" customWidth="1"/>
    <col min="18" max="19" width="13.57421875" style="0" bestFit="1" customWidth="1"/>
    <col min="20" max="20" width="11.8515625" style="0" bestFit="1" customWidth="1"/>
    <col min="21" max="21" width="12.8515625" style="0" bestFit="1" customWidth="1"/>
    <col min="22" max="23" width="14.00390625" style="0" bestFit="1" customWidth="1"/>
    <col min="24" max="25" width="15.00390625" style="0" bestFit="1" customWidth="1"/>
  </cols>
  <sheetData>
    <row r="1" spans="1:21" ht="12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ht="12.75">
      <c r="U2" s="14" t="s">
        <v>295</v>
      </c>
    </row>
    <row r="3" spans="2:25" ht="12.75">
      <c r="B3" s="165"/>
      <c r="C3" s="14" t="s">
        <v>260</v>
      </c>
      <c r="D3" s="14" t="s">
        <v>261</v>
      </c>
      <c r="E3" s="14" t="s">
        <v>262</v>
      </c>
      <c r="F3" s="14" t="s">
        <v>263</v>
      </c>
      <c r="G3" s="14" t="s">
        <v>264</v>
      </c>
      <c r="H3" s="14" t="s">
        <v>271</v>
      </c>
      <c r="I3" s="14" t="s">
        <v>265</v>
      </c>
      <c r="J3" s="14" t="s">
        <v>266</v>
      </c>
      <c r="K3" s="14" t="s">
        <v>267</v>
      </c>
      <c r="L3" s="14" t="s">
        <v>268</v>
      </c>
      <c r="M3" s="14" t="s">
        <v>269</v>
      </c>
      <c r="N3" s="14" t="s">
        <v>270</v>
      </c>
      <c r="O3" s="14" t="s">
        <v>272</v>
      </c>
      <c r="P3" s="14" t="s">
        <v>273</v>
      </c>
      <c r="Q3" s="14" t="s">
        <v>274</v>
      </c>
      <c r="R3" s="14" t="s">
        <v>275</v>
      </c>
      <c r="S3" s="14" t="s">
        <v>276</v>
      </c>
      <c r="T3" s="14" t="s">
        <v>277</v>
      </c>
      <c r="U3" s="103" t="s">
        <v>250</v>
      </c>
      <c r="V3" s="103" t="s">
        <v>147</v>
      </c>
      <c r="W3" s="214" t="s">
        <v>301</v>
      </c>
      <c r="X3" s="214" t="s">
        <v>149</v>
      </c>
      <c r="Y3" s="103"/>
    </row>
    <row r="4" spans="1:25" ht="12.75">
      <c r="A4" t="s">
        <v>167</v>
      </c>
      <c r="C4" s="196">
        <f>'P&amp;L'!C6</f>
        <v>0</v>
      </c>
      <c r="D4" s="196">
        <f>'P&amp;L'!D6</f>
        <v>0</v>
      </c>
      <c r="E4" s="196">
        <f>'P&amp;L'!E6</f>
        <v>0</v>
      </c>
      <c r="F4" s="196">
        <f>'P&amp;L'!F6</f>
        <v>0</v>
      </c>
      <c r="G4" s="196">
        <f>'P&amp;L'!G6</f>
        <v>0</v>
      </c>
      <c r="H4" s="196">
        <f>'P&amp;L'!H6</f>
        <v>8000</v>
      </c>
      <c r="I4" s="196">
        <f>'P&amp;L'!I6</f>
        <v>10700</v>
      </c>
      <c r="J4" s="196">
        <f>'P&amp;L'!J6</f>
        <v>13940</v>
      </c>
      <c r="K4" s="196">
        <f>'P&amp;L'!K6</f>
        <v>17720</v>
      </c>
      <c r="L4" s="196">
        <f>'P&amp;L'!L6</f>
        <v>22040</v>
      </c>
      <c r="M4" s="196">
        <f>'P&amp;L'!M6</f>
        <v>26900</v>
      </c>
      <c r="N4" s="196">
        <f>'P&amp;L'!N6</f>
        <v>32300</v>
      </c>
      <c r="O4" s="196">
        <f>'P&amp;L'!O6</f>
        <v>40940</v>
      </c>
      <c r="P4" s="196">
        <f>'P&amp;L'!P6</f>
        <v>47870</v>
      </c>
      <c r="Q4" s="196">
        <f>'P&amp;L'!Q6</f>
        <v>55377.5</v>
      </c>
      <c r="R4" s="196">
        <f>'P&amp;L'!R6</f>
        <v>64000</v>
      </c>
      <c r="S4" s="196">
        <f>'P&amp;L'!S6</f>
        <v>73737.5</v>
      </c>
      <c r="T4" s="196">
        <f>'P&amp;L'!T6</f>
        <v>85127.5</v>
      </c>
      <c r="U4" s="196">
        <f>'P&amp;L'!U6</f>
        <v>1000005</v>
      </c>
      <c r="V4" s="196">
        <f>'P&amp;L'!V6</f>
        <v>3655530</v>
      </c>
      <c r="W4" s="196">
        <f>'P&amp;L'!W6</f>
        <v>7111530</v>
      </c>
      <c r="X4" s="196">
        <f>'P&amp;L'!X6</f>
        <v>12622530</v>
      </c>
      <c r="Y4" s="3"/>
    </row>
    <row r="5" spans="3:25" ht="12.75"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3"/>
    </row>
    <row r="6" spans="1:25" ht="12.75">
      <c r="A6" t="s">
        <v>135</v>
      </c>
      <c r="C6" s="196">
        <f>'P&amp;L'!C26</f>
        <v>-19235</v>
      </c>
      <c r="D6" s="196">
        <f>'P&amp;L'!D26</f>
        <v>-38474.4</v>
      </c>
      <c r="E6" s="196">
        <f>'P&amp;L'!E26</f>
        <v>-28474.4</v>
      </c>
      <c r="F6" s="196">
        <f>'P&amp;L'!F26</f>
        <v>-28474.4</v>
      </c>
      <c r="G6" s="196">
        <f>'P&amp;L'!G26</f>
        <v>-28474.4</v>
      </c>
      <c r="H6" s="196">
        <f>'P&amp;L'!H26</f>
        <v>-20474.4</v>
      </c>
      <c r="I6" s="196">
        <f>'P&amp;L'!I26</f>
        <v>-52516.9</v>
      </c>
      <c r="J6" s="196">
        <f>'P&amp;L'!J26</f>
        <v>-44318.56666666667</v>
      </c>
      <c r="K6" s="196">
        <f>'P&amp;L'!K26</f>
        <v>-40580.23333333333</v>
      </c>
      <c r="L6" s="196">
        <f>'P&amp;L'!L26</f>
        <v>-48366.899999999994</v>
      </c>
      <c r="M6" s="196">
        <f>'P&amp;L'!M26</f>
        <v>-43548.56666666668</v>
      </c>
      <c r="N6" s="196">
        <f>'P&amp;L'!N26</f>
        <v>-38190.23333333334</v>
      </c>
      <c r="O6" s="196">
        <f>'P&amp;L'!O26</f>
        <v>-98454.36458333334</v>
      </c>
      <c r="P6" s="196">
        <f>'P&amp;L'!P26</f>
        <v>-86566.03125</v>
      </c>
      <c r="Q6" s="196">
        <f>'P&amp;L'!Q26</f>
        <v>-79100.19791666666</v>
      </c>
      <c r="R6" s="196">
        <f>'P&amp;L'!R26</f>
        <v>-70519.36458333334</v>
      </c>
      <c r="S6" s="196">
        <f>'P&amp;L'!S26</f>
        <v>-60823.53125</v>
      </c>
      <c r="T6" s="196">
        <f>'P&amp;L'!T26</f>
        <v>-49475.19791666666</v>
      </c>
      <c r="U6" s="196">
        <f>'P&amp;L'!U26</f>
        <v>183502.39583333326</v>
      </c>
      <c r="V6" s="196">
        <f>'P&amp;L'!V26</f>
        <v>970753.9583333335</v>
      </c>
      <c r="W6" s="196">
        <f>'P&amp;L'!W26</f>
        <v>3786089.6028645835</v>
      </c>
      <c r="X6" s="196">
        <f>'P&amp;L'!X26</f>
        <v>8045615.677083333</v>
      </c>
      <c r="Y6" s="3"/>
    </row>
    <row r="7" spans="3:25" ht="12.75"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3"/>
    </row>
    <row r="8" spans="1:25" ht="12.75">
      <c r="A8" t="s">
        <v>24</v>
      </c>
      <c r="C8" s="196">
        <f>'P&amp;L'!C33</f>
        <v>-12502.75</v>
      </c>
      <c r="D8" s="196">
        <f>'P&amp;L'!D33</f>
        <v>-25008.36</v>
      </c>
      <c r="E8" s="196">
        <f>'P&amp;L'!E33</f>
        <v>-18508.36</v>
      </c>
      <c r="F8" s="196">
        <f>'P&amp;L'!F33</f>
        <v>-18508.36</v>
      </c>
      <c r="G8" s="196">
        <f>'P&amp;L'!G33</f>
        <v>-18508.36</v>
      </c>
      <c r="H8" s="196">
        <f>'P&amp;L'!H33</f>
        <v>-13308.36</v>
      </c>
      <c r="I8" s="196">
        <f>'P&amp;L'!I33</f>
        <v>-34135.985</v>
      </c>
      <c r="J8" s="196">
        <f>'P&amp;L'!J33</f>
        <v>-28807.068333333336</v>
      </c>
      <c r="K8" s="196">
        <f>'P&amp;L'!K33</f>
        <v>-26377.151666666665</v>
      </c>
      <c r="L8" s="196">
        <f>'P&amp;L'!L33</f>
        <v>-31438.484999999997</v>
      </c>
      <c r="M8" s="196">
        <f>'P&amp;L'!M33</f>
        <v>-28306.568333333344</v>
      </c>
      <c r="N8" s="196">
        <f>'P&amp;L'!N33</f>
        <v>-24823.651666666672</v>
      </c>
      <c r="O8" s="196">
        <f>'P&amp;L'!O33</f>
        <v>-63995.33697916668</v>
      </c>
      <c r="P8" s="196">
        <f>'P&amp;L'!P33</f>
        <v>-56267.920312500006</v>
      </c>
      <c r="Q8" s="196">
        <f>'P&amp;L'!Q33</f>
        <v>-51415.12864583333</v>
      </c>
      <c r="R8" s="196">
        <f>'P&amp;L'!R33</f>
        <v>-45837.58697916668</v>
      </c>
      <c r="S8" s="196">
        <f>'P&amp;L'!S33</f>
        <v>-39535.295312500006</v>
      </c>
      <c r="T8" s="196">
        <f>'P&amp;L'!T33</f>
        <v>-32158.878645833327</v>
      </c>
      <c r="U8" s="196">
        <f>'P&amp;L'!U33</f>
        <v>119276.55729166663</v>
      </c>
      <c r="V8" s="196">
        <f>'P&amp;L'!V33</f>
        <v>630990.0729166667</v>
      </c>
      <c r="W8" s="196">
        <f>'P&amp;L'!W33</f>
        <v>2460958.2418619795</v>
      </c>
      <c r="X8" s="196">
        <f>'P&amp;L'!X33</f>
        <v>5229650.190104166</v>
      </c>
      <c r="Y8" s="3"/>
    </row>
    <row r="9" spans="3:24" ht="12.75"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</row>
    <row r="10" spans="1:24" ht="12.75">
      <c r="A10" s="14" t="s">
        <v>167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</row>
    <row r="11" spans="1:24" s="14" customFormat="1" ht="12.75">
      <c r="A11" s="14" t="s">
        <v>25</v>
      </c>
      <c r="C11" s="214" t="s">
        <v>167</v>
      </c>
      <c r="D11" s="214" t="s">
        <v>167</v>
      </c>
      <c r="E11" s="214" t="s">
        <v>167</v>
      </c>
      <c r="F11" s="214" t="s">
        <v>167</v>
      </c>
      <c r="G11" s="214" t="s">
        <v>167</v>
      </c>
      <c r="H11" s="214" t="s">
        <v>167</v>
      </c>
      <c r="I11" s="214" t="s">
        <v>167</v>
      </c>
      <c r="J11" s="214" t="s">
        <v>167</v>
      </c>
      <c r="K11" s="214" t="s">
        <v>167</v>
      </c>
      <c r="L11" s="214" t="s">
        <v>167</v>
      </c>
      <c r="M11" s="214" t="s">
        <v>167</v>
      </c>
      <c r="N11" s="214" t="s">
        <v>167</v>
      </c>
      <c r="O11" s="214" t="s">
        <v>167</v>
      </c>
      <c r="P11" s="214" t="s">
        <v>167</v>
      </c>
      <c r="Q11" s="214" t="s">
        <v>167</v>
      </c>
      <c r="R11" s="214" t="s">
        <v>167</v>
      </c>
      <c r="S11" s="214" t="s">
        <v>167</v>
      </c>
      <c r="T11" s="214" t="s">
        <v>167</v>
      </c>
      <c r="U11" s="214" t="s">
        <v>167</v>
      </c>
      <c r="V11" s="214" t="s">
        <v>167</v>
      </c>
      <c r="W11" s="214" t="s">
        <v>167</v>
      </c>
      <c r="X11" s="214" t="s">
        <v>167</v>
      </c>
    </row>
    <row r="12" spans="1:24" ht="12.75">
      <c r="A12">
        <v>1</v>
      </c>
      <c r="C12" s="199">
        <f aca="true" t="shared" si="0" ref="C12:L23">C$4*$A12</f>
        <v>0</v>
      </c>
      <c r="D12" s="199">
        <f t="shared" si="0"/>
        <v>0</v>
      </c>
      <c r="E12" s="199">
        <f t="shared" si="0"/>
        <v>0</v>
      </c>
      <c r="F12" s="199">
        <f t="shared" si="0"/>
        <v>0</v>
      </c>
      <c r="G12" s="199">
        <f t="shared" si="0"/>
        <v>0</v>
      </c>
      <c r="H12" s="199">
        <f t="shared" si="0"/>
        <v>8000</v>
      </c>
      <c r="I12" s="199">
        <f t="shared" si="0"/>
        <v>10700</v>
      </c>
      <c r="J12" s="199">
        <f t="shared" si="0"/>
        <v>13940</v>
      </c>
      <c r="K12" s="199">
        <f t="shared" si="0"/>
        <v>17720</v>
      </c>
      <c r="L12" s="199">
        <f t="shared" si="0"/>
        <v>22040</v>
      </c>
      <c r="M12" s="199">
        <f aca="true" t="shared" si="1" ref="M12:X23">M$4*$A12</f>
        <v>26900</v>
      </c>
      <c r="N12" s="199">
        <f t="shared" si="1"/>
        <v>32300</v>
      </c>
      <c r="O12" s="199">
        <f t="shared" si="1"/>
        <v>40940</v>
      </c>
      <c r="P12" s="199">
        <f t="shared" si="1"/>
        <v>47870</v>
      </c>
      <c r="Q12" s="199">
        <f t="shared" si="1"/>
        <v>55377.5</v>
      </c>
      <c r="R12" s="199">
        <f t="shared" si="1"/>
        <v>64000</v>
      </c>
      <c r="S12" s="199">
        <f t="shared" si="1"/>
        <v>73737.5</v>
      </c>
      <c r="T12" s="199">
        <f t="shared" si="1"/>
        <v>85127.5</v>
      </c>
      <c r="U12" s="199">
        <f t="shared" si="1"/>
        <v>1000005</v>
      </c>
      <c r="V12" s="199">
        <f t="shared" si="1"/>
        <v>3655530</v>
      </c>
      <c r="W12" s="199">
        <f t="shared" si="1"/>
        <v>7111530</v>
      </c>
      <c r="X12" s="199">
        <f t="shared" si="1"/>
        <v>12622530</v>
      </c>
    </row>
    <row r="13" spans="1:24" ht="12.75">
      <c r="A13">
        <v>2</v>
      </c>
      <c r="C13" s="199">
        <f t="shared" si="0"/>
        <v>0</v>
      </c>
      <c r="D13" s="199">
        <f t="shared" si="0"/>
        <v>0</v>
      </c>
      <c r="E13" s="199">
        <f t="shared" si="0"/>
        <v>0</v>
      </c>
      <c r="F13" s="199">
        <f t="shared" si="0"/>
        <v>0</v>
      </c>
      <c r="G13" s="199">
        <f t="shared" si="0"/>
        <v>0</v>
      </c>
      <c r="H13" s="199">
        <f t="shared" si="0"/>
        <v>16000</v>
      </c>
      <c r="I13" s="199">
        <f t="shared" si="0"/>
        <v>21400</v>
      </c>
      <c r="J13" s="199">
        <f t="shared" si="0"/>
        <v>27880</v>
      </c>
      <c r="K13" s="199">
        <f t="shared" si="0"/>
        <v>35440</v>
      </c>
      <c r="L13" s="199">
        <f t="shared" si="0"/>
        <v>44080</v>
      </c>
      <c r="M13" s="199">
        <f t="shared" si="1"/>
        <v>53800</v>
      </c>
      <c r="N13" s="199">
        <f t="shared" si="1"/>
        <v>64600</v>
      </c>
      <c r="O13" s="199">
        <f t="shared" si="1"/>
        <v>81880</v>
      </c>
      <c r="P13" s="199">
        <f t="shared" si="1"/>
        <v>95740</v>
      </c>
      <c r="Q13" s="199">
        <f t="shared" si="1"/>
        <v>110755</v>
      </c>
      <c r="R13" s="199">
        <f t="shared" si="1"/>
        <v>128000</v>
      </c>
      <c r="S13" s="199">
        <f t="shared" si="1"/>
        <v>147475</v>
      </c>
      <c r="T13" s="199">
        <f t="shared" si="1"/>
        <v>170255</v>
      </c>
      <c r="U13" s="199">
        <f t="shared" si="1"/>
        <v>2000010</v>
      </c>
      <c r="V13" s="199">
        <f t="shared" si="1"/>
        <v>7311060</v>
      </c>
      <c r="W13" s="199">
        <f t="shared" si="1"/>
        <v>14223060</v>
      </c>
      <c r="X13" s="199">
        <f t="shared" si="1"/>
        <v>25245060</v>
      </c>
    </row>
    <row r="14" spans="1:24" ht="12.75">
      <c r="A14">
        <v>3</v>
      </c>
      <c r="C14" s="199">
        <f t="shared" si="0"/>
        <v>0</v>
      </c>
      <c r="D14" s="199">
        <f t="shared" si="0"/>
        <v>0</v>
      </c>
      <c r="E14" s="199">
        <f t="shared" si="0"/>
        <v>0</v>
      </c>
      <c r="F14" s="199">
        <f t="shared" si="0"/>
        <v>0</v>
      </c>
      <c r="G14" s="199">
        <f t="shared" si="0"/>
        <v>0</v>
      </c>
      <c r="H14" s="199">
        <f t="shared" si="0"/>
        <v>24000</v>
      </c>
      <c r="I14" s="199">
        <f t="shared" si="0"/>
        <v>32100</v>
      </c>
      <c r="J14" s="199">
        <f t="shared" si="0"/>
        <v>41820</v>
      </c>
      <c r="K14" s="199">
        <f t="shared" si="0"/>
        <v>53160</v>
      </c>
      <c r="L14" s="199">
        <f t="shared" si="0"/>
        <v>66120</v>
      </c>
      <c r="M14" s="199">
        <f t="shared" si="1"/>
        <v>80700</v>
      </c>
      <c r="N14" s="199">
        <f t="shared" si="1"/>
        <v>96900</v>
      </c>
      <c r="O14" s="199">
        <f t="shared" si="1"/>
        <v>122820</v>
      </c>
      <c r="P14" s="199">
        <f t="shared" si="1"/>
        <v>143610</v>
      </c>
      <c r="Q14" s="199">
        <f t="shared" si="1"/>
        <v>166132.5</v>
      </c>
      <c r="R14" s="199">
        <f t="shared" si="1"/>
        <v>192000</v>
      </c>
      <c r="S14" s="199">
        <f t="shared" si="1"/>
        <v>221212.5</v>
      </c>
      <c r="T14" s="199">
        <f t="shared" si="1"/>
        <v>255382.5</v>
      </c>
      <c r="U14" s="199">
        <f t="shared" si="1"/>
        <v>3000015</v>
      </c>
      <c r="V14" s="199">
        <f t="shared" si="1"/>
        <v>10966590</v>
      </c>
      <c r="W14" s="199">
        <f t="shared" si="1"/>
        <v>21334590</v>
      </c>
      <c r="X14" s="199">
        <f t="shared" si="1"/>
        <v>37867590</v>
      </c>
    </row>
    <row r="15" spans="1:24" ht="12.75">
      <c r="A15">
        <v>4</v>
      </c>
      <c r="C15" s="199">
        <f t="shared" si="0"/>
        <v>0</v>
      </c>
      <c r="D15" s="199">
        <f t="shared" si="0"/>
        <v>0</v>
      </c>
      <c r="E15" s="199">
        <f t="shared" si="0"/>
        <v>0</v>
      </c>
      <c r="F15" s="199">
        <f t="shared" si="0"/>
        <v>0</v>
      </c>
      <c r="G15" s="199">
        <f t="shared" si="0"/>
        <v>0</v>
      </c>
      <c r="H15" s="199">
        <f t="shared" si="0"/>
        <v>32000</v>
      </c>
      <c r="I15" s="199">
        <f t="shared" si="0"/>
        <v>42800</v>
      </c>
      <c r="J15" s="199">
        <f t="shared" si="0"/>
        <v>55760</v>
      </c>
      <c r="K15" s="199">
        <f t="shared" si="0"/>
        <v>70880</v>
      </c>
      <c r="L15" s="199">
        <f t="shared" si="0"/>
        <v>88160</v>
      </c>
      <c r="M15" s="199">
        <f t="shared" si="1"/>
        <v>107600</v>
      </c>
      <c r="N15" s="199">
        <f t="shared" si="1"/>
        <v>129200</v>
      </c>
      <c r="O15" s="199">
        <f t="shared" si="1"/>
        <v>163760</v>
      </c>
      <c r="P15" s="199">
        <f t="shared" si="1"/>
        <v>191480</v>
      </c>
      <c r="Q15" s="199">
        <f t="shared" si="1"/>
        <v>221510</v>
      </c>
      <c r="R15" s="199">
        <f t="shared" si="1"/>
        <v>256000</v>
      </c>
      <c r="S15" s="199">
        <f t="shared" si="1"/>
        <v>294950</v>
      </c>
      <c r="T15" s="199">
        <f t="shared" si="1"/>
        <v>340510</v>
      </c>
      <c r="U15" s="199">
        <f t="shared" si="1"/>
        <v>4000020</v>
      </c>
      <c r="V15" s="199">
        <f t="shared" si="1"/>
        <v>14622120</v>
      </c>
      <c r="W15" s="199">
        <f t="shared" si="1"/>
        <v>28446120</v>
      </c>
      <c r="X15" s="199">
        <f t="shared" si="1"/>
        <v>50490120</v>
      </c>
    </row>
    <row r="16" spans="1:24" ht="12.75">
      <c r="A16">
        <v>5</v>
      </c>
      <c r="C16" s="199">
        <f t="shared" si="0"/>
        <v>0</v>
      </c>
      <c r="D16" s="199">
        <f t="shared" si="0"/>
        <v>0</v>
      </c>
      <c r="E16" s="199">
        <f t="shared" si="0"/>
        <v>0</v>
      </c>
      <c r="F16" s="199">
        <f t="shared" si="0"/>
        <v>0</v>
      </c>
      <c r="G16" s="199">
        <f t="shared" si="0"/>
        <v>0</v>
      </c>
      <c r="H16" s="199">
        <f t="shared" si="0"/>
        <v>40000</v>
      </c>
      <c r="I16" s="199">
        <f t="shared" si="0"/>
        <v>53500</v>
      </c>
      <c r="J16" s="199">
        <f t="shared" si="0"/>
        <v>69700</v>
      </c>
      <c r="K16" s="199">
        <f t="shared" si="0"/>
        <v>88600</v>
      </c>
      <c r="L16" s="199">
        <f t="shared" si="0"/>
        <v>110200</v>
      </c>
      <c r="M16" s="199">
        <f t="shared" si="1"/>
        <v>134500</v>
      </c>
      <c r="N16" s="199">
        <f t="shared" si="1"/>
        <v>161500</v>
      </c>
      <c r="O16" s="199">
        <f t="shared" si="1"/>
        <v>204700</v>
      </c>
      <c r="P16" s="199">
        <f t="shared" si="1"/>
        <v>239350</v>
      </c>
      <c r="Q16" s="199">
        <f t="shared" si="1"/>
        <v>276887.5</v>
      </c>
      <c r="R16" s="199">
        <f t="shared" si="1"/>
        <v>320000</v>
      </c>
      <c r="S16" s="199">
        <f t="shared" si="1"/>
        <v>368687.5</v>
      </c>
      <c r="T16" s="199">
        <f t="shared" si="1"/>
        <v>425637.5</v>
      </c>
      <c r="U16" s="199">
        <f t="shared" si="1"/>
        <v>5000025</v>
      </c>
      <c r="V16" s="199">
        <f t="shared" si="1"/>
        <v>18277650</v>
      </c>
      <c r="W16" s="199">
        <f t="shared" si="1"/>
        <v>35557650</v>
      </c>
      <c r="X16" s="199">
        <f t="shared" si="1"/>
        <v>63112650</v>
      </c>
    </row>
    <row r="17" spans="1:24" ht="12.75">
      <c r="A17">
        <v>6</v>
      </c>
      <c r="C17" s="199">
        <f t="shared" si="0"/>
        <v>0</v>
      </c>
      <c r="D17" s="199">
        <f t="shared" si="0"/>
        <v>0</v>
      </c>
      <c r="E17" s="199">
        <f t="shared" si="0"/>
        <v>0</v>
      </c>
      <c r="F17" s="199">
        <f t="shared" si="0"/>
        <v>0</v>
      </c>
      <c r="G17" s="199">
        <f t="shared" si="0"/>
        <v>0</v>
      </c>
      <c r="H17" s="199">
        <f t="shared" si="0"/>
        <v>48000</v>
      </c>
      <c r="I17" s="199">
        <f t="shared" si="0"/>
        <v>64200</v>
      </c>
      <c r="J17" s="199">
        <f t="shared" si="0"/>
        <v>83640</v>
      </c>
      <c r="K17" s="199">
        <f t="shared" si="0"/>
        <v>106320</v>
      </c>
      <c r="L17" s="199">
        <f t="shared" si="0"/>
        <v>132240</v>
      </c>
      <c r="M17" s="199">
        <f t="shared" si="1"/>
        <v>161400</v>
      </c>
      <c r="N17" s="199">
        <f t="shared" si="1"/>
        <v>193800</v>
      </c>
      <c r="O17" s="199">
        <f t="shared" si="1"/>
        <v>245640</v>
      </c>
      <c r="P17" s="199">
        <f t="shared" si="1"/>
        <v>287220</v>
      </c>
      <c r="Q17" s="199">
        <f t="shared" si="1"/>
        <v>332265</v>
      </c>
      <c r="R17" s="199">
        <f t="shared" si="1"/>
        <v>384000</v>
      </c>
      <c r="S17" s="199">
        <f t="shared" si="1"/>
        <v>442425</v>
      </c>
      <c r="T17" s="199">
        <f t="shared" si="1"/>
        <v>510765</v>
      </c>
      <c r="U17" s="199">
        <f t="shared" si="1"/>
        <v>6000030</v>
      </c>
      <c r="V17" s="199">
        <f t="shared" si="1"/>
        <v>21933180</v>
      </c>
      <c r="W17" s="199">
        <f t="shared" si="1"/>
        <v>42669180</v>
      </c>
      <c r="X17" s="199">
        <f t="shared" si="1"/>
        <v>75735180</v>
      </c>
    </row>
    <row r="18" spans="1:24" ht="12.75">
      <c r="A18">
        <v>7</v>
      </c>
      <c r="C18" s="199">
        <f t="shared" si="0"/>
        <v>0</v>
      </c>
      <c r="D18" s="199">
        <f t="shared" si="0"/>
        <v>0</v>
      </c>
      <c r="E18" s="199">
        <f t="shared" si="0"/>
        <v>0</v>
      </c>
      <c r="F18" s="199">
        <f t="shared" si="0"/>
        <v>0</v>
      </c>
      <c r="G18" s="199">
        <f t="shared" si="0"/>
        <v>0</v>
      </c>
      <c r="H18" s="199">
        <f t="shared" si="0"/>
        <v>56000</v>
      </c>
      <c r="I18" s="199">
        <f t="shared" si="0"/>
        <v>74900</v>
      </c>
      <c r="J18" s="199">
        <f t="shared" si="0"/>
        <v>97580</v>
      </c>
      <c r="K18" s="199">
        <f t="shared" si="0"/>
        <v>124040</v>
      </c>
      <c r="L18" s="199">
        <f t="shared" si="0"/>
        <v>154280</v>
      </c>
      <c r="M18" s="199">
        <f t="shared" si="1"/>
        <v>188300</v>
      </c>
      <c r="N18" s="199">
        <f t="shared" si="1"/>
        <v>226100</v>
      </c>
      <c r="O18" s="199">
        <f t="shared" si="1"/>
        <v>286580</v>
      </c>
      <c r="P18" s="199">
        <f t="shared" si="1"/>
        <v>335090</v>
      </c>
      <c r="Q18" s="199">
        <f t="shared" si="1"/>
        <v>387642.5</v>
      </c>
      <c r="R18" s="199">
        <f t="shared" si="1"/>
        <v>448000</v>
      </c>
      <c r="S18" s="199">
        <f t="shared" si="1"/>
        <v>516162.5</v>
      </c>
      <c r="T18" s="199">
        <f t="shared" si="1"/>
        <v>595892.5</v>
      </c>
      <c r="U18" s="199">
        <f t="shared" si="1"/>
        <v>7000035</v>
      </c>
      <c r="V18" s="199">
        <f t="shared" si="1"/>
        <v>25588710</v>
      </c>
      <c r="W18" s="199">
        <f t="shared" si="1"/>
        <v>49780710</v>
      </c>
      <c r="X18" s="199">
        <f t="shared" si="1"/>
        <v>88357710</v>
      </c>
    </row>
    <row r="19" spans="1:24" ht="12.75">
      <c r="A19">
        <v>8</v>
      </c>
      <c r="C19" s="199">
        <f t="shared" si="0"/>
        <v>0</v>
      </c>
      <c r="D19" s="199">
        <f t="shared" si="0"/>
        <v>0</v>
      </c>
      <c r="E19" s="199">
        <f t="shared" si="0"/>
        <v>0</v>
      </c>
      <c r="F19" s="199">
        <f t="shared" si="0"/>
        <v>0</v>
      </c>
      <c r="G19" s="199">
        <f t="shared" si="0"/>
        <v>0</v>
      </c>
      <c r="H19" s="199">
        <f t="shared" si="0"/>
        <v>64000</v>
      </c>
      <c r="I19" s="199">
        <f t="shared" si="0"/>
        <v>85600</v>
      </c>
      <c r="J19" s="199">
        <f t="shared" si="0"/>
        <v>111520</v>
      </c>
      <c r="K19" s="199">
        <f t="shared" si="0"/>
        <v>141760</v>
      </c>
      <c r="L19" s="199">
        <f t="shared" si="0"/>
        <v>176320</v>
      </c>
      <c r="M19" s="199">
        <f t="shared" si="1"/>
        <v>215200</v>
      </c>
      <c r="N19" s="199">
        <f t="shared" si="1"/>
        <v>258400</v>
      </c>
      <c r="O19" s="199">
        <f t="shared" si="1"/>
        <v>327520</v>
      </c>
      <c r="P19" s="199">
        <f t="shared" si="1"/>
        <v>382960</v>
      </c>
      <c r="Q19" s="199">
        <f t="shared" si="1"/>
        <v>443020</v>
      </c>
      <c r="R19" s="199">
        <f t="shared" si="1"/>
        <v>512000</v>
      </c>
      <c r="S19" s="199">
        <f t="shared" si="1"/>
        <v>589900</v>
      </c>
      <c r="T19" s="199">
        <f t="shared" si="1"/>
        <v>681020</v>
      </c>
      <c r="U19" s="199">
        <f t="shared" si="1"/>
        <v>8000040</v>
      </c>
      <c r="V19" s="199">
        <f t="shared" si="1"/>
        <v>29244240</v>
      </c>
      <c r="W19" s="199">
        <f t="shared" si="1"/>
        <v>56892240</v>
      </c>
      <c r="X19" s="199">
        <f t="shared" si="1"/>
        <v>100980240</v>
      </c>
    </row>
    <row r="20" spans="1:24" ht="12.75">
      <c r="A20">
        <v>9</v>
      </c>
      <c r="C20" s="199">
        <f t="shared" si="0"/>
        <v>0</v>
      </c>
      <c r="D20" s="199">
        <f t="shared" si="0"/>
        <v>0</v>
      </c>
      <c r="E20" s="199">
        <f t="shared" si="0"/>
        <v>0</v>
      </c>
      <c r="F20" s="199">
        <f t="shared" si="0"/>
        <v>0</v>
      </c>
      <c r="G20" s="199">
        <f t="shared" si="0"/>
        <v>0</v>
      </c>
      <c r="H20" s="199">
        <f t="shared" si="0"/>
        <v>72000</v>
      </c>
      <c r="I20" s="199">
        <f t="shared" si="0"/>
        <v>96300</v>
      </c>
      <c r="J20" s="199">
        <f t="shared" si="0"/>
        <v>125460</v>
      </c>
      <c r="K20" s="199">
        <f t="shared" si="0"/>
        <v>159480</v>
      </c>
      <c r="L20" s="199">
        <f t="shared" si="0"/>
        <v>198360</v>
      </c>
      <c r="M20" s="199">
        <f t="shared" si="1"/>
        <v>242100</v>
      </c>
      <c r="N20" s="199">
        <f t="shared" si="1"/>
        <v>290700</v>
      </c>
      <c r="O20" s="199">
        <f t="shared" si="1"/>
        <v>368460</v>
      </c>
      <c r="P20" s="199">
        <f t="shared" si="1"/>
        <v>430830</v>
      </c>
      <c r="Q20" s="199">
        <f t="shared" si="1"/>
        <v>498397.5</v>
      </c>
      <c r="R20" s="199">
        <f t="shared" si="1"/>
        <v>576000</v>
      </c>
      <c r="S20" s="199">
        <f t="shared" si="1"/>
        <v>663637.5</v>
      </c>
      <c r="T20" s="199">
        <f t="shared" si="1"/>
        <v>766147.5</v>
      </c>
      <c r="U20" s="199">
        <f t="shared" si="1"/>
        <v>9000045</v>
      </c>
      <c r="V20" s="199">
        <f t="shared" si="1"/>
        <v>32899770</v>
      </c>
      <c r="W20" s="199">
        <f t="shared" si="1"/>
        <v>64003770</v>
      </c>
      <c r="X20" s="199">
        <f t="shared" si="1"/>
        <v>113602770</v>
      </c>
    </row>
    <row r="21" spans="1:24" ht="12.75">
      <c r="A21">
        <v>10</v>
      </c>
      <c r="C21" s="199">
        <f t="shared" si="0"/>
        <v>0</v>
      </c>
      <c r="D21" s="199">
        <f t="shared" si="0"/>
        <v>0</v>
      </c>
      <c r="E21" s="199">
        <f t="shared" si="0"/>
        <v>0</v>
      </c>
      <c r="F21" s="199">
        <f t="shared" si="0"/>
        <v>0</v>
      </c>
      <c r="G21" s="199">
        <f t="shared" si="0"/>
        <v>0</v>
      </c>
      <c r="H21" s="199">
        <f t="shared" si="0"/>
        <v>80000</v>
      </c>
      <c r="I21" s="199">
        <f t="shared" si="0"/>
        <v>107000</v>
      </c>
      <c r="J21" s="199">
        <f t="shared" si="0"/>
        <v>139400</v>
      </c>
      <c r="K21" s="199">
        <f t="shared" si="0"/>
        <v>177200</v>
      </c>
      <c r="L21" s="199">
        <f t="shared" si="0"/>
        <v>220400</v>
      </c>
      <c r="M21" s="199">
        <f t="shared" si="1"/>
        <v>269000</v>
      </c>
      <c r="N21" s="199">
        <f t="shared" si="1"/>
        <v>323000</v>
      </c>
      <c r="O21" s="199">
        <f t="shared" si="1"/>
        <v>409400</v>
      </c>
      <c r="P21" s="199">
        <f t="shared" si="1"/>
        <v>478700</v>
      </c>
      <c r="Q21" s="199">
        <f t="shared" si="1"/>
        <v>553775</v>
      </c>
      <c r="R21" s="199">
        <f t="shared" si="1"/>
        <v>640000</v>
      </c>
      <c r="S21" s="199">
        <f t="shared" si="1"/>
        <v>737375</v>
      </c>
      <c r="T21" s="199">
        <f t="shared" si="1"/>
        <v>851275</v>
      </c>
      <c r="U21" s="199">
        <f t="shared" si="1"/>
        <v>10000050</v>
      </c>
      <c r="V21" s="199">
        <f t="shared" si="1"/>
        <v>36555300</v>
      </c>
      <c r="W21" s="199">
        <f t="shared" si="1"/>
        <v>71115300</v>
      </c>
      <c r="X21" s="199">
        <f t="shared" si="1"/>
        <v>126225300</v>
      </c>
    </row>
    <row r="22" spans="1:24" ht="12.75">
      <c r="A22">
        <v>15</v>
      </c>
      <c r="C22" s="199">
        <f t="shared" si="0"/>
        <v>0</v>
      </c>
      <c r="D22" s="199">
        <f t="shared" si="0"/>
        <v>0</v>
      </c>
      <c r="E22" s="199">
        <f t="shared" si="0"/>
        <v>0</v>
      </c>
      <c r="F22" s="199">
        <f t="shared" si="0"/>
        <v>0</v>
      </c>
      <c r="G22" s="199">
        <f t="shared" si="0"/>
        <v>0</v>
      </c>
      <c r="H22" s="199">
        <f t="shared" si="0"/>
        <v>120000</v>
      </c>
      <c r="I22" s="199">
        <f t="shared" si="0"/>
        <v>160500</v>
      </c>
      <c r="J22" s="199">
        <f t="shared" si="0"/>
        <v>209100</v>
      </c>
      <c r="K22" s="199">
        <f t="shared" si="0"/>
        <v>265800</v>
      </c>
      <c r="L22" s="199">
        <f t="shared" si="0"/>
        <v>330600</v>
      </c>
      <c r="M22" s="199">
        <f t="shared" si="1"/>
        <v>403500</v>
      </c>
      <c r="N22" s="199">
        <f t="shared" si="1"/>
        <v>484500</v>
      </c>
      <c r="O22" s="199">
        <f t="shared" si="1"/>
        <v>614100</v>
      </c>
      <c r="P22" s="199">
        <f t="shared" si="1"/>
        <v>718050</v>
      </c>
      <c r="Q22" s="199">
        <f t="shared" si="1"/>
        <v>830662.5</v>
      </c>
      <c r="R22" s="199">
        <f t="shared" si="1"/>
        <v>960000</v>
      </c>
      <c r="S22" s="199">
        <f t="shared" si="1"/>
        <v>1106062.5</v>
      </c>
      <c r="T22" s="199">
        <f t="shared" si="1"/>
        <v>1276912.5</v>
      </c>
      <c r="U22" s="199">
        <f t="shared" si="1"/>
        <v>15000075</v>
      </c>
      <c r="V22" s="199">
        <f t="shared" si="1"/>
        <v>54832950</v>
      </c>
      <c r="W22" s="199">
        <f t="shared" si="1"/>
        <v>106672950</v>
      </c>
      <c r="X22" s="199">
        <f t="shared" si="1"/>
        <v>189337950</v>
      </c>
    </row>
    <row r="23" spans="1:24" ht="12.75">
      <c r="A23">
        <v>20</v>
      </c>
      <c r="C23" s="199">
        <f t="shared" si="0"/>
        <v>0</v>
      </c>
      <c r="D23" s="199">
        <f t="shared" si="0"/>
        <v>0</v>
      </c>
      <c r="E23" s="199">
        <f t="shared" si="0"/>
        <v>0</v>
      </c>
      <c r="F23" s="199">
        <f t="shared" si="0"/>
        <v>0</v>
      </c>
      <c r="G23" s="199">
        <f t="shared" si="0"/>
        <v>0</v>
      </c>
      <c r="H23" s="199">
        <f t="shared" si="0"/>
        <v>160000</v>
      </c>
      <c r="I23" s="199">
        <f t="shared" si="0"/>
        <v>214000</v>
      </c>
      <c r="J23" s="199">
        <f t="shared" si="0"/>
        <v>278800</v>
      </c>
      <c r="K23" s="199">
        <f t="shared" si="0"/>
        <v>354400</v>
      </c>
      <c r="L23" s="199">
        <f t="shared" si="0"/>
        <v>440800</v>
      </c>
      <c r="M23" s="199">
        <f t="shared" si="1"/>
        <v>538000</v>
      </c>
      <c r="N23" s="199">
        <f t="shared" si="1"/>
        <v>646000</v>
      </c>
      <c r="O23" s="199">
        <f t="shared" si="1"/>
        <v>818800</v>
      </c>
      <c r="P23" s="199">
        <f t="shared" si="1"/>
        <v>957400</v>
      </c>
      <c r="Q23" s="199">
        <f t="shared" si="1"/>
        <v>1107550</v>
      </c>
      <c r="R23" s="199">
        <f t="shared" si="1"/>
        <v>1280000</v>
      </c>
      <c r="S23" s="199">
        <f t="shared" si="1"/>
        <v>1474750</v>
      </c>
      <c r="T23" s="199">
        <f t="shared" si="1"/>
        <v>1702550</v>
      </c>
      <c r="U23" s="199">
        <f t="shared" si="1"/>
        <v>20000100</v>
      </c>
      <c r="V23" s="199">
        <f t="shared" si="1"/>
        <v>73110600</v>
      </c>
      <c r="W23" s="199">
        <f t="shared" si="1"/>
        <v>142230600</v>
      </c>
      <c r="X23" s="199">
        <f t="shared" si="1"/>
        <v>252450600</v>
      </c>
    </row>
    <row r="24" ht="12.75">
      <c r="A24" s="14" t="s">
        <v>135</v>
      </c>
    </row>
    <row r="25" spans="1:24" s="14" customFormat="1" ht="12.75">
      <c r="A25" s="14" t="s">
        <v>25</v>
      </c>
      <c r="C25" s="103" t="s">
        <v>135</v>
      </c>
      <c r="D25" s="103" t="s">
        <v>135</v>
      </c>
      <c r="E25" s="103" t="s">
        <v>135</v>
      </c>
      <c r="F25" s="103" t="s">
        <v>135</v>
      </c>
      <c r="G25" s="103" t="s">
        <v>135</v>
      </c>
      <c r="H25" s="103" t="s">
        <v>135</v>
      </c>
      <c r="I25" s="103" t="s">
        <v>135</v>
      </c>
      <c r="J25" s="103" t="s">
        <v>135</v>
      </c>
      <c r="K25" s="103" t="s">
        <v>135</v>
      </c>
      <c r="L25" s="103" t="s">
        <v>135</v>
      </c>
      <c r="M25" s="103" t="s">
        <v>135</v>
      </c>
      <c r="N25" s="103" t="s">
        <v>135</v>
      </c>
      <c r="O25" s="103" t="s">
        <v>135</v>
      </c>
      <c r="P25" s="103" t="s">
        <v>135</v>
      </c>
      <c r="Q25" s="103" t="s">
        <v>135</v>
      </c>
      <c r="R25" s="103" t="s">
        <v>135</v>
      </c>
      <c r="S25" s="103" t="s">
        <v>135</v>
      </c>
      <c r="T25" s="103" t="s">
        <v>135</v>
      </c>
      <c r="U25" s="103" t="s">
        <v>135</v>
      </c>
      <c r="V25" s="103" t="s">
        <v>135</v>
      </c>
      <c r="W25" s="103" t="s">
        <v>135</v>
      </c>
      <c r="X25" s="103" t="s">
        <v>135</v>
      </c>
    </row>
    <row r="26" spans="1:24" ht="12.75">
      <c r="A26">
        <v>5</v>
      </c>
      <c r="C26" s="198">
        <f aca="true" t="shared" si="2" ref="C26:X26">C$6*$A16</f>
        <v>-96175</v>
      </c>
      <c r="D26" s="198">
        <f t="shared" si="2"/>
        <v>-192372</v>
      </c>
      <c r="E26" s="198">
        <f t="shared" si="2"/>
        <v>-142372</v>
      </c>
      <c r="F26" s="198">
        <f t="shared" si="2"/>
        <v>-142372</v>
      </c>
      <c r="G26" s="198">
        <f t="shared" si="2"/>
        <v>-142372</v>
      </c>
      <c r="H26" s="198">
        <f t="shared" si="2"/>
        <v>-102372</v>
      </c>
      <c r="I26" s="198">
        <f t="shared" si="2"/>
        <v>-262584.5</v>
      </c>
      <c r="J26" s="198">
        <f t="shared" si="2"/>
        <v>-221592.83333333337</v>
      </c>
      <c r="K26" s="198">
        <f t="shared" si="2"/>
        <v>-202901.16666666666</v>
      </c>
      <c r="L26" s="198">
        <f t="shared" si="2"/>
        <v>-241834.49999999997</v>
      </c>
      <c r="M26" s="198">
        <f t="shared" si="2"/>
        <v>-217742.8333333334</v>
      </c>
      <c r="N26" s="198">
        <f t="shared" si="2"/>
        <v>-190951.1666666667</v>
      </c>
      <c r="O26" s="198">
        <f t="shared" si="2"/>
        <v>-492271.82291666674</v>
      </c>
      <c r="P26" s="198">
        <f t="shared" si="2"/>
        <v>-432830.15625</v>
      </c>
      <c r="Q26" s="198">
        <f t="shared" si="2"/>
        <v>-395500.98958333326</v>
      </c>
      <c r="R26" s="198">
        <f t="shared" si="2"/>
        <v>-352596.82291666674</v>
      </c>
      <c r="S26" s="198">
        <f t="shared" si="2"/>
        <v>-304117.65625</v>
      </c>
      <c r="T26" s="198">
        <f t="shared" si="2"/>
        <v>-247375.98958333328</v>
      </c>
      <c r="U26" s="198">
        <f t="shared" si="2"/>
        <v>917511.9791666663</v>
      </c>
      <c r="V26" s="198">
        <f t="shared" si="2"/>
        <v>4853769.791666668</v>
      </c>
      <c r="W26" s="198">
        <f t="shared" si="2"/>
        <v>18930448.014322918</v>
      </c>
      <c r="X26" s="198">
        <f t="shared" si="2"/>
        <v>40228078.385416664</v>
      </c>
    </row>
    <row r="27" spans="1:24" ht="12.75">
      <c r="A27">
        <v>6</v>
      </c>
      <c r="C27" s="198">
        <f aca="true" t="shared" si="3" ref="C27:X27">C$6*$A17</f>
        <v>-115410</v>
      </c>
      <c r="D27" s="198">
        <f t="shared" si="3"/>
        <v>-230846.40000000002</v>
      </c>
      <c r="E27" s="198">
        <f t="shared" si="3"/>
        <v>-170846.40000000002</v>
      </c>
      <c r="F27" s="198">
        <f t="shared" si="3"/>
        <v>-170846.40000000002</v>
      </c>
      <c r="G27" s="198">
        <f t="shared" si="3"/>
        <v>-170846.40000000002</v>
      </c>
      <c r="H27" s="198">
        <f t="shared" si="3"/>
        <v>-122846.40000000001</v>
      </c>
      <c r="I27" s="198">
        <f t="shared" si="3"/>
        <v>-315101.4</v>
      </c>
      <c r="J27" s="198">
        <f t="shared" si="3"/>
        <v>-265911.4</v>
      </c>
      <c r="K27" s="198">
        <f t="shared" si="3"/>
        <v>-243481.39999999997</v>
      </c>
      <c r="L27" s="198">
        <f t="shared" si="3"/>
        <v>-290201.39999999997</v>
      </c>
      <c r="M27" s="198">
        <f t="shared" si="3"/>
        <v>-261291.40000000008</v>
      </c>
      <c r="N27" s="198">
        <f t="shared" si="3"/>
        <v>-229141.40000000002</v>
      </c>
      <c r="O27" s="198">
        <f t="shared" si="3"/>
        <v>-590726.1875</v>
      </c>
      <c r="P27" s="198">
        <f t="shared" si="3"/>
        <v>-519396.1875</v>
      </c>
      <c r="Q27" s="198">
        <f t="shared" si="3"/>
        <v>-474601.18749999994</v>
      </c>
      <c r="R27" s="198">
        <f t="shared" si="3"/>
        <v>-423116.18750000006</v>
      </c>
      <c r="S27" s="198">
        <f t="shared" si="3"/>
        <v>-364941.1875</v>
      </c>
      <c r="T27" s="198">
        <f t="shared" si="3"/>
        <v>-296851.18749999994</v>
      </c>
      <c r="U27" s="198">
        <f t="shared" si="3"/>
        <v>1101014.3749999995</v>
      </c>
      <c r="V27" s="198">
        <f t="shared" si="3"/>
        <v>5824523.750000001</v>
      </c>
      <c r="W27" s="198">
        <f t="shared" si="3"/>
        <v>22716537.6171875</v>
      </c>
      <c r="X27" s="198">
        <f t="shared" si="3"/>
        <v>48273694.0625</v>
      </c>
    </row>
    <row r="28" spans="1:24" ht="12.75">
      <c r="A28">
        <v>7</v>
      </c>
      <c r="C28" s="198">
        <f aca="true" t="shared" si="4" ref="C28:X28">C$6*$A18</f>
        <v>-134645</v>
      </c>
      <c r="D28" s="198">
        <f t="shared" si="4"/>
        <v>-269320.8</v>
      </c>
      <c r="E28" s="198">
        <f t="shared" si="4"/>
        <v>-199320.80000000002</v>
      </c>
      <c r="F28" s="198">
        <f t="shared" si="4"/>
        <v>-199320.80000000002</v>
      </c>
      <c r="G28" s="198">
        <f t="shared" si="4"/>
        <v>-199320.80000000002</v>
      </c>
      <c r="H28" s="198">
        <f t="shared" si="4"/>
        <v>-143320.80000000002</v>
      </c>
      <c r="I28" s="198">
        <f t="shared" si="4"/>
        <v>-367618.3</v>
      </c>
      <c r="J28" s="198">
        <f t="shared" si="4"/>
        <v>-310229.96666666673</v>
      </c>
      <c r="K28" s="198">
        <f t="shared" si="4"/>
        <v>-284061.6333333333</v>
      </c>
      <c r="L28" s="198">
        <f t="shared" si="4"/>
        <v>-338568.29999999993</v>
      </c>
      <c r="M28" s="198">
        <f t="shared" si="4"/>
        <v>-304839.9666666668</v>
      </c>
      <c r="N28" s="198">
        <f t="shared" si="4"/>
        <v>-267331.63333333336</v>
      </c>
      <c r="O28" s="198">
        <f t="shared" si="4"/>
        <v>-689180.5520833334</v>
      </c>
      <c r="P28" s="198">
        <f t="shared" si="4"/>
        <v>-605962.21875</v>
      </c>
      <c r="Q28" s="198">
        <f t="shared" si="4"/>
        <v>-553701.3854166666</v>
      </c>
      <c r="R28" s="198">
        <f t="shared" si="4"/>
        <v>-493635.5520833334</v>
      </c>
      <c r="S28" s="198">
        <f t="shared" si="4"/>
        <v>-425764.71875</v>
      </c>
      <c r="T28" s="198">
        <f t="shared" si="4"/>
        <v>-346326.3854166666</v>
      </c>
      <c r="U28" s="198">
        <f t="shared" si="4"/>
        <v>1284516.7708333328</v>
      </c>
      <c r="V28" s="198">
        <f t="shared" si="4"/>
        <v>6795277.708333334</v>
      </c>
      <c r="W28" s="198">
        <f t="shared" si="4"/>
        <v>26502627.220052086</v>
      </c>
      <c r="X28" s="198">
        <f t="shared" si="4"/>
        <v>56319309.73958333</v>
      </c>
    </row>
    <row r="29" spans="1:24" ht="12.75">
      <c r="A29">
        <v>8</v>
      </c>
      <c r="C29" s="198">
        <f aca="true" t="shared" si="5" ref="C29:X29">C$6*$A19</f>
        <v>-153880</v>
      </c>
      <c r="D29" s="198">
        <f t="shared" si="5"/>
        <v>-307795.2</v>
      </c>
      <c r="E29" s="198">
        <f t="shared" si="5"/>
        <v>-227795.2</v>
      </c>
      <c r="F29" s="198">
        <f t="shared" si="5"/>
        <v>-227795.2</v>
      </c>
      <c r="G29" s="198">
        <f t="shared" si="5"/>
        <v>-227795.2</v>
      </c>
      <c r="H29" s="198">
        <f t="shared" si="5"/>
        <v>-163795.2</v>
      </c>
      <c r="I29" s="198">
        <f t="shared" si="5"/>
        <v>-420135.2</v>
      </c>
      <c r="J29" s="198">
        <f t="shared" si="5"/>
        <v>-354548.5333333334</v>
      </c>
      <c r="K29" s="198">
        <f t="shared" si="5"/>
        <v>-324641.86666666664</v>
      </c>
      <c r="L29" s="198">
        <f t="shared" si="5"/>
        <v>-386935.19999999995</v>
      </c>
      <c r="M29" s="198">
        <f t="shared" si="5"/>
        <v>-348388.53333333344</v>
      </c>
      <c r="N29" s="198">
        <f t="shared" si="5"/>
        <v>-305521.8666666667</v>
      </c>
      <c r="O29" s="198">
        <f t="shared" si="5"/>
        <v>-787634.9166666667</v>
      </c>
      <c r="P29" s="198">
        <f t="shared" si="5"/>
        <v>-692528.25</v>
      </c>
      <c r="Q29" s="198">
        <f t="shared" si="5"/>
        <v>-632801.5833333333</v>
      </c>
      <c r="R29" s="198">
        <f t="shared" si="5"/>
        <v>-564154.9166666667</v>
      </c>
      <c r="S29" s="198">
        <f t="shared" si="5"/>
        <v>-486588.25</v>
      </c>
      <c r="T29" s="198">
        <f t="shared" si="5"/>
        <v>-395801.58333333326</v>
      </c>
      <c r="U29" s="198">
        <f t="shared" si="5"/>
        <v>1468019.166666666</v>
      </c>
      <c r="V29" s="198">
        <f t="shared" si="5"/>
        <v>7766031.666666668</v>
      </c>
      <c r="W29" s="198">
        <f t="shared" si="5"/>
        <v>30288716.822916668</v>
      </c>
      <c r="X29" s="198">
        <f t="shared" si="5"/>
        <v>64364925.416666664</v>
      </c>
    </row>
    <row r="30" spans="1:24" ht="12.75">
      <c r="A30">
        <v>9</v>
      </c>
      <c r="C30" s="198">
        <f aca="true" t="shared" si="6" ref="C30:X30">C$6*$A20</f>
        <v>-173115</v>
      </c>
      <c r="D30" s="198">
        <f t="shared" si="6"/>
        <v>-346269.60000000003</v>
      </c>
      <c r="E30" s="198">
        <f t="shared" si="6"/>
        <v>-256269.6</v>
      </c>
      <c r="F30" s="198">
        <f t="shared" si="6"/>
        <v>-256269.6</v>
      </c>
      <c r="G30" s="198">
        <f t="shared" si="6"/>
        <v>-256269.6</v>
      </c>
      <c r="H30" s="198">
        <f t="shared" si="6"/>
        <v>-184269.6</v>
      </c>
      <c r="I30" s="198">
        <f t="shared" si="6"/>
        <v>-472652.10000000003</v>
      </c>
      <c r="J30" s="198">
        <f t="shared" si="6"/>
        <v>-398867.10000000003</v>
      </c>
      <c r="K30" s="198">
        <f t="shared" si="6"/>
        <v>-365222.1</v>
      </c>
      <c r="L30" s="198">
        <f t="shared" si="6"/>
        <v>-435302.1</v>
      </c>
      <c r="M30" s="198">
        <f t="shared" si="6"/>
        <v>-391937.1000000001</v>
      </c>
      <c r="N30" s="198">
        <f t="shared" si="6"/>
        <v>-343712.10000000003</v>
      </c>
      <c r="O30" s="198">
        <f t="shared" si="6"/>
        <v>-886089.2812500001</v>
      </c>
      <c r="P30" s="198">
        <f t="shared" si="6"/>
        <v>-779094.28125</v>
      </c>
      <c r="Q30" s="198">
        <f t="shared" si="6"/>
        <v>-711901.7812499999</v>
      </c>
      <c r="R30" s="198">
        <f t="shared" si="6"/>
        <v>-634674.2812500001</v>
      </c>
      <c r="S30" s="198">
        <f t="shared" si="6"/>
        <v>-547411.78125</v>
      </c>
      <c r="T30" s="198">
        <f t="shared" si="6"/>
        <v>-445276.7812499999</v>
      </c>
      <c r="U30" s="198">
        <f t="shared" si="6"/>
        <v>1651521.5624999993</v>
      </c>
      <c r="V30" s="198">
        <f t="shared" si="6"/>
        <v>8736785.625000002</v>
      </c>
      <c r="W30" s="198">
        <f t="shared" si="6"/>
        <v>34074806.42578125</v>
      </c>
      <c r="X30" s="198">
        <f t="shared" si="6"/>
        <v>72410541.09375</v>
      </c>
    </row>
    <row r="31" spans="1:24" ht="12.75">
      <c r="A31">
        <v>10</v>
      </c>
      <c r="C31" s="198">
        <f aca="true" t="shared" si="7" ref="C31:X31">C$6*$A21</f>
        <v>-192350</v>
      </c>
      <c r="D31" s="198">
        <f t="shared" si="7"/>
        <v>-384744</v>
      </c>
      <c r="E31" s="198">
        <f t="shared" si="7"/>
        <v>-284744</v>
      </c>
      <c r="F31" s="198">
        <f t="shared" si="7"/>
        <v>-284744</v>
      </c>
      <c r="G31" s="198">
        <f t="shared" si="7"/>
        <v>-284744</v>
      </c>
      <c r="H31" s="198">
        <f t="shared" si="7"/>
        <v>-204744</v>
      </c>
      <c r="I31" s="198">
        <f t="shared" si="7"/>
        <v>-525169</v>
      </c>
      <c r="J31" s="198">
        <f t="shared" si="7"/>
        <v>-443185.66666666674</v>
      </c>
      <c r="K31" s="198">
        <f t="shared" si="7"/>
        <v>-405802.3333333333</v>
      </c>
      <c r="L31" s="198">
        <f t="shared" si="7"/>
        <v>-483668.99999999994</v>
      </c>
      <c r="M31" s="198">
        <f t="shared" si="7"/>
        <v>-435485.6666666668</v>
      </c>
      <c r="N31" s="198">
        <f t="shared" si="7"/>
        <v>-381902.3333333334</v>
      </c>
      <c r="O31" s="198">
        <f t="shared" si="7"/>
        <v>-984543.6458333335</v>
      </c>
      <c r="P31" s="198">
        <f t="shared" si="7"/>
        <v>-865660.3125</v>
      </c>
      <c r="Q31" s="198">
        <f t="shared" si="7"/>
        <v>-791001.9791666665</v>
      </c>
      <c r="R31" s="198">
        <f t="shared" si="7"/>
        <v>-705193.6458333335</v>
      </c>
      <c r="S31" s="198">
        <f t="shared" si="7"/>
        <v>-608235.3125</v>
      </c>
      <c r="T31" s="198">
        <f t="shared" si="7"/>
        <v>-494751.97916666657</v>
      </c>
      <c r="U31" s="198">
        <f t="shared" si="7"/>
        <v>1835023.9583333326</v>
      </c>
      <c r="V31" s="198">
        <f t="shared" si="7"/>
        <v>9707539.583333336</v>
      </c>
      <c r="W31" s="198">
        <f t="shared" si="7"/>
        <v>37860896.028645836</v>
      </c>
      <c r="X31" s="198">
        <f t="shared" si="7"/>
        <v>80456156.77083333</v>
      </c>
    </row>
    <row r="32" spans="1:24" ht="12.75">
      <c r="A32">
        <v>15</v>
      </c>
      <c r="C32" s="198">
        <f aca="true" t="shared" si="8" ref="C32:X32">C$6*$A22</f>
        <v>-288525</v>
      </c>
      <c r="D32" s="198">
        <f t="shared" si="8"/>
        <v>-577116</v>
      </c>
      <c r="E32" s="198">
        <f t="shared" si="8"/>
        <v>-427116</v>
      </c>
      <c r="F32" s="198">
        <f t="shared" si="8"/>
        <v>-427116</v>
      </c>
      <c r="G32" s="198">
        <f t="shared" si="8"/>
        <v>-427116</v>
      </c>
      <c r="H32" s="198">
        <f t="shared" si="8"/>
        <v>-307116</v>
      </c>
      <c r="I32" s="198">
        <f t="shared" si="8"/>
        <v>-787753.5</v>
      </c>
      <c r="J32" s="198">
        <f t="shared" si="8"/>
        <v>-664778.5000000001</v>
      </c>
      <c r="K32" s="198">
        <f t="shared" si="8"/>
        <v>-608703.5</v>
      </c>
      <c r="L32" s="198">
        <f t="shared" si="8"/>
        <v>-725503.4999999999</v>
      </c>
      <c r="M32" s="198">
        <f t="shared" si="8"/>
        <v>-653228.5000000002</v>
      </c>
      <c r="N32" s="198">
        <f t="shared" si="8"/>
        <v>-572853.5</v>
      </c>
      <c r="O32" s="198">
        <f t="shared" si="8"/>
        <v>-1476815.4687500002</v>
      </c>
      <c r="P32" s="198">
        <f t="shared" si="8"/>
        <v>-1298490.46875</v>
      </c>
      <c r="Q32" s="198">
        <f t="shared" si="8"/>
        <v>-1186502.9687499998</v>
      </c>
      <c r="R32" s="198">
        <f t="shared" si="8"/>
        <v>-1057790.4687500002</v>
      </c>
      <c r="S32" s="198">
        <f t="shared" si="8"/>
        <v>-912352.96875</v>
      </c>
      <c r="T32" s="198">
        <f t="shared" si="8"/>
        <v>-742127.9687499999</v>
      </c>
      <c r="U32" s="198">
        <f t="shared" si="8"/>
        <v>2752535.937499999</v>
      </c>
      <c r="V32" s="198">
        <f t="shared" si="8"/>
        <v>14561309.375000002</v>
      </c>
      <c r="W32" s="198">
        <f t="shared" si="8"/>
        <v>56791344.04296875</v>
      </c>
      <c r="X32" s="198">
        <f t="shared" si="8"/>
        <v>120684235.15625</v>
      </c>
    </row>
    <row r="33" spans="1:24" ht="12.75">
      <c r="A33">
        <v>20</v>
      </c>
      <c r="C33" s="198">
        <f aca="true" t="shared" si="9" ref="C33:X33">C$6*$A23</f>
        <v>-384700</v>
      </c>
      <c r="D33" s="198">
        <f t="shared" si="9"/>
        <v>-769488</v>
      </c>
      <c r="E33" s="198">
        <f t="shared" si="9"/>
        <v>-569488</v>
      </c>
      <c r="F33" s="198">
        <f t="shared" si="9"/>
        <v>-569488</v>
      </c>
      <c r="G33" s="198">
        <f t="shared" si="9"/>
        <v>-569488</v>
      </c>
      <c r="H33" s="198">
        <f t="shared" si="9"/>
        <v>-409488</v>
      </c>
      <c r="I33" s="198">
        <f t="shared" si="9"/>
        <v>-1050338</v>
      </c>
      <c r="J33" s="198">
        <f t="shared" si="9"/>
        <v>-886371.3333333335</v>
      </c>
      <c r="K33" s="198">
        <f t="shared" si="9"/>
        <v>-811604.6666666666</v>
      </c>
      <c r="L33" s="198">
        <f t="shared" si="9"/>
        <v>-967337.9999999999</v>
      </c>
      <c r="M33" s="198">
        <f t="shared" si="9"/>
        <v>-870971.3333333336</v>
      </c>
      <c r="N33" s="198">
        <f t="shared" si="9"/>
        <v>-763804.6666666667</v>
      </c>
      <c r="O33" s="198">
        <f t="shared" si="9"/>
        <v>-1969087.291666667</v>
      </c>
      <c r="P33" s="198">
        <f t="shared" si="9"/>
        <v>-1731320.625</v>
      </c>
      <c r="Q33" s="198">
        <f t="shared" si="9"/>
        <v>-1582003.958333333</v>
      </c>
      <c r="R33" s="198">
        <f t="shared" si="9"/>
        <v>-1410387.291666667</v>
      </c>
      <c r="S33" s="198">
        <f t="shared" si="9"/>
        <v>-1216470.625</v>
      </c>
      <c r="T33" s="198">
        <f t="shared" si="9"/>
        <v>-989503.9583333331</v>
      </c>
      <c r="U33" s="198">
        <f t="shared" si="9"/>
        <v>3670047.916666665</v>
      </c>
      <c r="V33" s="198">
        <f t="shared" si="9"/>
        <v>19415079.16666667</v>
      </c>
      <c r="W33" s="198">
        <f t="shared" si="9"/>
        <v>75721792.05729167</v>
      </c>
      <c r="X33" s="198">
        <f t="shared" si="9"/>
        <v>160912313.54166666</v>
      </c>
    </row>
  </sheetData>
  <sheetProtection/>
  <printOptions/>
  <pageMargins left="0.75" right="0.75" top="1" bottom="1" header="0.5" footer="0.5"/>
  <pageSetup fitToWidth="2" fitToHeight="1" horizontalDpi="600" verticalDpi="600" orientation="landscape" scale="72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4:G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9.28125" style="3" bestFit="1" customWidth="1"/>
    <col min="2" max="2" width="2.7109375" style="3" customWidth="1"/>
    <col min="3" max="3" width="10.8515625" style="3" bestFit="1" customWidth="1"/>
    <col min="4" max="5" width="11.28125" style="3" bestFit="1" customWidth="1"/>
    <col min="6" max="7" width="12.28125" style="3" bestFit="1" customWidth="1"/>
    <col min="8" max="16384" width="9.140625" style="3" customWidth="1"/>
  </cols>
  <sheetData>
    <row r="4" spans="3:7" ht="12.75">
      <c r="C4" s="30" t="s">
        <v>51</v>
      </c>
      <c r="D4" s="30" t="s">
        <v>129</v>
      </c>
      <c r="E4" s="30" t="s">
        <v>130</v>
      </c>
      <c r="F4" s="30" t="s">
        <v>131</v>
      </c>
      <c r="G4" s="30" t="s">
        <v>41</v>
      </c>
    </row>
    <row r="5" spans="1:7" ht="12.75">
      <c r="A5" s="3" t="s">
        <v>43</v>
      </c>
      <c r="C5" s="3" t="e">
        <f>+'P&amp;L'!#REF!</f>
        <v>#REF!</v>
      </c>
      <c r="D5" s="3" t="e">
        <f>+'P&amp;L'!#REF!</f>
        <v>#REF!</v>
      </c>
      <c r="E5" s="3" t="e">
        <f>+'P&amp;L'!#REF!</f>
        <v>#REF!</v>
      </c>
      <c r="F5" s="3" t="e">
        <f>+'P&amp;L'!#REF!</f>
        <v>#REF!</v>
      </c>
      <c r="G5" s="3" t="e">
        <f>+'P&amp;L'!#REF!</f>
        <v>#REF!</v>
      </c>
    </row>
    <row r="6" spans="1:7" ht="12.75">
      <c r="A6" s="3" t="s">
        <v>89</v>
      </c>
      <c r="C6" s="25" t="e">
        <f>+'P&amp;L'!#REF!</f>
        <v>#REF!</v>
      </c>
      <c r="D6" s="25" t="e">
        <f>+'P&amp;L'!#REF!</f>
        <v>#REF!</v>
      </c>
      <c r="E6" s="25" t="e">
        <f>+'P&amp;L'!#REF!</f>
        <v>#REF!</v>
      </c>
      <c r="F6" s="25" t="e">
        <f>+'P&amp;L'!#REF!</f>
        <v>#REF!</v>
      </c>
      <c r="G6" s="25" t="e">
        <f>+'P&amp;L'!#REF!</f>
        <v>#REF!</v>
      </c>
    </row>
    <row r="7" spans="1:7" ht="12.75">
      <c r="A7" s="3" t="s">
        <v>90</v>
      </c>
      <c r="C7" s="3" t="e">
        <f>+'P&amp;L'!#REF!</f>
        <v>#REF!</v>
      </c>
      <c r="D7" s="3" t="e">
        <f>+'P&amp;L'!#REF!</f>
        <v>#REF!</v>
      </c>
      <c r="E7" s="3" t="e">
        <f>+'P&amp;L'!#REF!</f>
        <v>#REF!</v>
      </c>
      <c r="F7" s="3" t="e">
        <f>+'P&amp;L'!#REF!</f>
        <v>#REF!</v>
      </c>
      <c r="G7" s="3" t="e">
        <f>+'P&amp;L'!#REF!</f>
        <v>#REF!</v>
      </c>
    </row>
    <row r="8" spans="1:7" ht="12.75">
      <c r="A8" s="3" t="s">
        <v>136</v>
      </c>
      <c r="C8" s="3" t="e">
        <f>+'P&amp;L'!#REF!</f>
        <v>#REF!</v>
      </c>
      <c r="D8" s="3" t="e">
        <f>+'P&amp;L'!#REF!</f>
        <v>#REF!</v>
      </c>
      <c r="E8" s="3" t="e">
        <f>+'P&amp;L'!#REF!</f>
        <v>#REF!</v>
      </c>
      <c r="F8" s="3" t="e">
        <f>+'P&amp;L'!#REF!</f>
        <v>#REF!</v>
      </c>
      <c r="G8" s="3" t="e">
        <f>+'P&amp;L'!#REF!</f>
        <v>#REF!</v>
      </c>
    </row>
    <row r="10" spans="1:7" ht="12.75">
      <c r="A10" s="3" t="s">
        <v>91</v>
      </c>
      <c r="C10" s="32" t="s">
        <v>102</v>
      </c>
      <c r="D10" s="26" t="e">
        <f>(('Balance Sheet (Intentional Off)'!#REF!+'Balance Sheet (Intentional Off)'!#REF!)/2)/('P&amp;L'!#REF!/360)</f>
        <v>#REF!</v>
      </c>
      <c r="E10" s="26" t="e">
        <f>(('Balance Sheet (Intentional Off)'!#REF!+'Balance Sheet (Intentional Off)'!#REF!)/2)/('P&amp;L'!#REF!/360)</f>
        <v>#REF!</v>
      </c>
      <c r="F10" s="26" t="e">
        <f>(('Balance Sheet (Intentional Off)'!#REF!+'Balance Sheet (Intentional Off)'!#REF!)/2)/('P&amp;L'!#REF!/360)</f>
        <v>#REF!</v>
      </c>
      <c r="G10" s="26" t="e">
        <f>(('Balance Sheet (Intentional Off)'!#REF!+'Balance Sheet (Intentional Off)'!#REF!)/2)/('P&amp;L'!#REF!/360)</f>
        <v>#REF!</v>
      </c>
    </row>
    <row r="11" spans="1:7" ht="12.75">
      <c r="A11" s="3" t="s">
        <v>98</v>
      </c>
      <c r="C11" s="32" t="s">
        <v>102</v>
      </c>
      <c r="D11" s="26" t="e">
        <f>+'Working Capital'!#REF!</f>
        <v>#REF!</v>
      </c>
      <c r="E11" s="26" t="e">
        <f>+'Working Capital'!#REF!</f>
        <v>#REF!</v>
      </c>
      <c r="F11" s="26" t="e">
        <f>+'Working Capital'!#REF!</f>
        <v>#REF!</v>
      </c>
      <c r="G11" s="26" t="e">
        <f>+'Working Capital'!#REF!</f>
        <v>#REF!</v>
      </c>
    </row>
    <row r="12" spans="1:7" ht="12.75">
      <c r="A12" s="3" t="s">
        <v>99</v>
      </c>
      <c r="C12" s="26" t="e">
        <f>'Balance Sheet (Intentional Off)'!#REF!/'Balance Sheet (Intentional Off)'!#REF!</f>
        <v>#REF!</v>
      </c>
      <c r="D12" s="26" t="e">
        <f>'Balance Sheet (Intentional Off)'!#REF!/'Balance Sheet (Intentional Off)'!#REF!</f>
        <v>#REF!</v>
      </c>
      <c r="E12" s="26" t="e">
        <f>'Balance Sheet (Intentional Off)'!#REF!/'Balance Sheet (Intentional Off)'!#REF!</f>
        <v>#REF!</v>
      </c>
      <c r="F12" s="26" t="e">
        <f>'Balance Sheet (Intentional Off)'!#REF!/'Balance Sheet (Intentional Off)'!#REF!</f>
        <v>#REF!</v>
      </c>
      <c r="G12" s="26" t="e">
        <f>'Balance Sheet (Intentional Off)'!#REF!/'Balance Sheet (Intentional Off)'!#REF!</f>
        <v>#REF!</v>
      </c>
    </row>
    <row r="13" spans="1:7" ht="12.75">
      <c r="A13" s="3" t="s">
        <v>100</v>
      </c>
      <c r="C13" s="26" t="e">
        <f>('Balance Sheet (Intentional Off)'!#REF!-'Balance Sheet (Intentional Off)'!#REF!)/'Balance Sheet (Intentional Off)'!#REF!</f>
        <v>#REF!</v>
      </c>
      <c r="D13" s="26" t="e">
        <f>('Balance Sheet (Intentional Off)'!#REF!-'Balance Sheet (Intentional Off)'!#REF!)/'Balance Sheet (Intentional Off)'!#REF!</f>
        <v>#REF!</v>
      </c>
      <c r="E13" s="26" t="e">
        <f>('Balance Sheet (Intentional Off)'!#REF!-'Balance Sheet (Intentional Off)'!#REF!)/'Balance Sheet (Intentional Off)'!#REF!</f>
        <v>#REF!</v>
      </c>
      <c r="F13" s="26" t="e">
        <f>('Balance Sheet (Intentional Off)'!#REF!-'Balance Sheet (Intentional Off)'!#REF!)/'Balance Sheet (Intentional Off)'!#REF!</f>
        <v>#REF!</v>
      </c>
      <c r="G13" s="26" t="e">
        <f>('Balance Sheet (Intentional Off)'!#REF!-'Balance Sheet (Intentional Off)'!#REF!)/'Balance Sheet (Intentional Off)'!#REF!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zoomScalePageLayoutView="0" workbookViewId="0" topLeftCell="A1">
      <pane xSplit="4" ySplit="3" topLeftCell="E124" activePane="bottomRight" state="frozen"/>
      <selection pane="topLeft" activeCell="AI1" sqref="AI1:AI16384"/>
      <selection pane="topRight" activeCell="AI1" sqref="AI1:AI16384"/>
      <selection pane="bottomLeft" activeCell="AI1" sqref="AI1:AI16384"/>
      <selection pane="bottomRight" activeCell="AI1" sqref="AI1:AI16384"/>
    </sheetView>
  </sheetViews>
  <sheetFormatPr defaultColWidth="10.28125" defaultRowHeight="12.75"/>
  <cols>
    <col min="1" max="1" width="3.00390625" style="34" customWidth="1"/>
    <col min="2" max="2" width="2.7109375" style="34" customWidth="1"/>
    <col min="3" max="3" width="33.140625" style="34" customWidth="1"/>
    <col min="4" max="4" width="3.00390625" style="34" bestFit="1" customWidth="1"/>
    <col min="5" max="5" width="14.00390625" style="34" customWidth="1"/>
    <col min="6" max="9" width="10.8515625" style="34" customWidth="1"/>
    <col min="10" max="10" width="10.7109375" style="34" customWidth="1"/>
    <col min="11" max="11" width="7.28125" style="34" customWidth="1"/>
    <col min="12" max="13" width="7.421875" style="34" customWidth="1"/>
    <col min="14" max="14" width="7.421875" style="34" bestFit="1" customWidth="1"/>
    <col min="15" max="15" width="7.8515625" style="34" customWidth="1"/>
    <col min="16" max="16384" width="10.28125" style="34" customWidth="1"/>
  </cols>
  <sheetData>
    <row r="1" spans="1:9" ht="15">
      <c r="A1" s="33"/>
      <c r="E1" s="83"/>
      <c r="F1" s="89"/>
      <c r="G1" s="89"/>
      <c r="H1" s="89"/>
      <c r="I1" s="89"/>
    </row>
    <row r="2" spans="1:9" ht="14.25">
      <c r="A2" s="35"/>
      <c r="B2" s="36"/>
      <c r="C2" s="36"/>
      <c r="D2" s="36"/>
      <c r="E2" s="37"/>
      <c r="F2" s="37"/>
      <c r="G2" s="37"/>
      <c r="H2" s="37"/>
      <c r="I2" s="37"/>
    </row>
    <row r="3" spans="1:9" ht="13.5" customHeight="1">
      <c r="A3" s="38"/>
      <c r="B3" s="36"/>
      <c r="C3" s="39"/>
      <c r="D3" s="39"/>
      <c r="E3" s="40" t="s">
        <v>105</v>
      </c>
      <c r="F3" s="40" t="s">
        <v>106</v>
      </c>
      <c r="G3" s="40" t="s">
        <v>107</v>
      </c>
      <c r="H3" s="40" t="s">
        <v>108</v>
      </c>
      <c r="I3" s="40" t="s">
        <v>109</v>
      </c>
    </row>
    <row r="4" spans="1:11" ht="15">
      <c r="A4" s="41" t="s">
        <v>110</v>
      </c>
      <c r="J4" s="42"/>
      <c r="K4" s="42"/>
    </row>
    <row r="5" spans="2:9" ht="14.25">
      <c r="B5" s="43" t="s">
        <v>190</v>
      </c>
      <c r="C5" s="21"/>
      <c r="D5" s="21"/>
      <c r="E5" s="44"/>
      <c r="F5" s="44"/>
      <c r="G5" s="44"/>
      <c r="H5" s="44"/>
      <c r="I5" s="44"/>
    </row>
    <row r="6" spans="2:9" ht="14.25">
      <c r="B6" s="43"/>
      <c r="C6" s="45" t="s">
        <v>111</v>
      </c>
      <c r="D6" s="45"/>
      <c r="E6" s="46">
        <v>4970</v>
      </c>
      <c r="F6" s="50">
        <f>E6*(1+F7)</f>
        <v>4978.946</v>
      </c>
      <c r="G6" s="50">
        <f>F6*(1+G7)</f>
        <v>4987.9081028</v>
      </c>
      <c r="H6" s="50">
        <f>G6*(1+H7)</f>
        <v>4996.88633738504</v>
      </c>
      <c r="I6" s="50">
        <f>H6*(1+I7)</f>
        <v>5005.880732792333</v>
      </c>
    </row>
    <row r="7" spans="2:9" ht="14.25">
      <c r="B7" s="43"/>
      <c r="C7" s="51" t="s">
        <v>156</v>
      </c>
      <c r="D7" s="45"/>
      <c r="E7" s="52" t="s">
        <v>103</v>
      </c>
      <c r="F7" s="53">
        <v>0.0018</v>
      </c>
      <c r="G7" s="53">
        <f>F7</f>
        <v>0.0018</v>
      </c>
      <c r="H7" s="53">
        <f>G7</f>
        <v>0.0018</v>
      </c>
      <c r="I7" s="53">
        <f>H7</f>
        <v>0.0018</v>
      </c>
    </row>
    <row r="8" spans="2:9" ht="14.25">
      <c r="B8" s="54"/>
      <c r="C8" s="45" t="s">
        <v>157</v>
      </c>
      <c r="D8" s="55"/>
      <c r="E8" s="56">
        <v>3373</v>
      </c>
      <c r="F8" s="57">
        <f>E8*(1+F9)</f>
        <v>3645.5384</v>
      </c>
      <c r="G8" s="57">
        <f>F8*(1+G9)</f>
        <v>3940.0979027199996</v>
      </c>
      <c r="H8" s="57">
        <f>G8*(1+H9)</f>
        <v>4258.457813259775</v>
      </c>
      <c r="I8" s="57">
        <f>H8*(1+I9)</f>
        <v>4602.5412045711655</v>
      </c>
    </row>
    <row r="9" spans="2:9" ht="14.25">
      <c r="B9" s="54"/>
      <c r="C9" s="51" t="s">
        <v>156</v>
      </c>
      <c r="D9" s="55"/>
      <c r="E9" s="52" t="s">
        <v>103</v>
      </c>
      <c r="F9" s="53">
        <v>0.0808</v>
      </c>
      <c r="G9" s="53">
        <f>F9</f>
        <v>0.0808</v>
      </c>
      <c r="H9" s="53">
        <f>G9</f>
        <v>0.0808</v>
      </c>
      <c r="I9" s="53">
        <f>H9</f>
        <v>0.0808</v>
      </c>
    </row>
    <row r="10" spans="2:9" ht="14.25">
      <c r="B10" s="54"/>
      <c r="C10" s="55" t="s">
        <v>158</v>
      </c>
      <c r="D10" s="55"/>
      <c r="E10" s="56">
        <v>1291</v>
      </c>
      <c r="F10" s="57">
        <f>E10*(1+F11)</f>
        <v>1303.7809</v>
      </c>
      <c r="G10" s="57">
        <f>F10*(1+G11)</f>
        <v>1316.68833091</v>
      </c>
      <c r="H10" s="57">
        <f>G10*(1+H11)</f>
        <v>1329.7235453860092</v>
      </c>
      <c r="I10" s="57">
        <f>H10*(1+I11)</f>
        <v>1342.8878084853307</v>
      </c>
    </row>
    <row r="11" spans="2:9" ht="14.25">
      <c r="B11" s="54"/>
      <c r="C11" s="51" t="s">
        <v>156</v>
      </c>
      <c r="D11" s="55"/>
      <c r="E11" s="52" t="s">
        <v>103</v>
      </c>
      <c r="F11" s="53">
        <v>0.0099</v>
      </c>
      <c r="G11" s="53">
        <f>F11</f>
        <v>0.0099</v>
      </c>
      <c r="H11" s="53">
        <f>G11</f>
        <v>0.0099</v>
      </c>
      <c r="I11" s="53">
        <f>H11</f>
        <v>0.0099</v>
      </c>
    </row>
    <row r="12" spans="2:9" ht="14.25" hidden="1">
      <c r="B12" s="54"/>
      <c r="C12" s="58" t="s">
        <v>159</v>
      </c>
      <c r="D12" s="55"/>
      <c r="E12" s="56">
        <v>0</v>
      </c>
      <c r="F12" s="59">
        <f>E12*(1+F13)</f>
        <v>0</v>
      </c>
      <c r="G12" s="59">
        <f>F12*(1+G13)</f>
        <v>0</v>
      </c>
      <c r="H12" s="59">
        <f>G12*(1+H13)</f>
        <v>0</v>
      </c>
      <c r="I12" s="59">
        <f>H12*(1+I13)</f>
        <v>0</v>
      </c>
    </row>
    <row r="13" spans="2:9" ht="14.25" hidden="1">
      <c r="B13" s="54"/>
      <c r="C13" s="51" t="s">
        <v>156</v>
      </c>
      <c r="D13" s="55"/>
      <c r="E13" s="52"/>
      <c r="F13" s="53">
        <v>0</v>
      </c>
      <c r="G13" s="53">
        <v>0</v>
      </c>
      <c r="H13" s="53">
        <v>0</v>
      </c>
      <c r="I13" s="53">
        <v>0</v>
      </c>
    </row>
    <row r="14" spans="2:9" ht="14.25">
      <c r="B14" s="54"/>
      <c r="C14" s="58" t="s">
        <v>160</v>
      </c>
      <c r="D14" s="55"/>
      <c r="E14" s="56">
        <v>5577</v>
      </c>
      <c r="F14" s="60">
        <f>E14*(1+F15)</f>
        <v>5868.6771</v>
      </c>
      <c r="G14" s="60">
        <f>F14*(1+G15)</f>
        <v>6175.60891233</v>
      </c>
      <c r="H14" s="60">
        <f>G14*(1+H15)</f>
        <v>6498.593258444859</v>
      </c>
      <c r="I14" s="60">
        <f>H14*(1+I15)</f>
        <v>6838.469685861525</v>
      </c>
    </row>
    <row r="15" spans="2:9" ht="14.25">
      <c r="B15" s="54"/>
      <c r="C15" s="51" t="s">
        <v>156</v>
      </c>
      <c r="D15" s="55"/>
      <c r="E15" s="52"/>
      <c r="F15" s="53">
        <v>0.0523</v>
      </c>
      <c r="G15" s="53">
        <f>F15</f>
        <v>0.0523</v>
      </c>
      <c r="H15" s="53">
        <f>G15</f>
        <v>0.0523</v>
      </c>
      <c r="I15" s="53">
        <f>H15</f>
        <v>0.0523</v>
      </c>
    </row>
    <row r="16" spans="2:9" ht="14.25">
      <c r="B16" s="54"/>
      <c r="C16" s="45" t="s">
        <v>212</v>
      </c>
      <c r="D16" s="55"/>
      <c r="E16" s="56" t="e">
        <f>132601-#REF!-#REF!-#REF!</f>
        <v>#REF!</v>
      </c>
      <c r="F16" s="57" t="e">
        <f>E16*(1+F17)</f>
        <v>#REF!</v>
      </c>
      <c r="G16" s="57" t="e">
        <f>F16*(1+G17)</f>
        <v>#REF!</v>
      </c>
      <c r="H16" s="57" t="e">
        <f>G16*(1+H17)</f>
        <v>#REF!</v>
      </c>
      <c r="I16" s="57" t="e">
        <f>H16*(1+I17)</f>
        <v>#REF!</v>
      </c>
    </row>
    <row r="17" spans="3:9" ht="14.25">
      <c r="C17" s="51" t="s">
        <v>156</v>
      </c>
      <c r="D17" s="61"/>
      <c r="E17" s="52" t="s">
        <v>103</v>
      </c>
      <c r="F17" s="53">
        <v>0.0081</v>
      </c>
      <c r="G17" s="53">
        <f>F17</f>
        <v>0.0081</v>
      </c>
      <c r="H17" s="53">
        <f>G17</f>
        <v>0.0081</v>
      </c>
      <c r="I17" s="53">
        <f>H17</f>
        <v>0.0081</v>
      </c>
    </row>
    <row r="18" spans="2:9" ht="14.25">
      <c r="B18" s="54"/>
      <c r="C18" s="54"/>
      <c r="D18" s="54"/>
      <c r="E18" s="54"/>
      <c r="F18" s="54"/>
      <c r="G18" s="54"/>
      <c r="H18" s="54"/>
      <c r="I18" s="54"/>
    </row>
    <row r="19" spans="1:9" ht="15">
      <c r="A19" s="62" t="s">
        <v>63</v>
      </c>
      <c r="C19" s="54"/>
      <c r="D19" s="54"/>
      <c r="E19" s="54"/>
      <c r="F19" s="54"/>
      <c r="G19" s="54"/>
      <c r="H19" s="54"/>
      <c r="I19" s="54"/>
    </row>
    <row r="20" spans="2:9" ht="14.25">
      <c r="B20" s="63" t="s">
        <v>213</v>
      </c>
      <c r="C20" s="54"/>
      <c r="D20" s="54"/>
      <c r="E20" s="64"/>
      <c r="F20" s="64"/>
      <c r="G20" s="64"/>
      <c r="H20" s="64"/>
      <c r="I20" s="64"/>
    </row>
    <row r="21" spans="3:9" ht="14.25">
      <c r="C21" s="65" t="s">
        <v>214</v>
      </c>
      <c r="D21" s="21"/>
      <c r="E21" s="66">
        <f>E6</f>
        <v>4970</v>
      </c>
      <c r="F21" s="66">
        <f>F6</f>
        <v>4978.946</v>
      </c>
      <c r="G21" s="66">
        <f>G6</f>
        <v>4987.9081028</v>
      </c>
      <c r="H21" s="66">
        <f>H6</f>
        <v>4996.88633738504</v>
      </c>
      <c r="I21" s="66">
        <f>I6</f>
        <v>5005.880732792333</v>
      </c>
    </row>
    <row r="22" spans="3:9" ht="14.25">
      <c r="C22" s="65" t="s">
        <v>215</v>
      </c>
      <c r="D22" s="21"/>
      <c r="E22" s="67">
        <v>10</v>
      </c>
      <c r="F22" s="67">
        <f>+E22</f>
        <v>10</v>
      </c>
      <c r="G22" s="67">
        <f>F22</f>
        <v>10</v>
      </c>
      <c r="H22" s="67">
        <f>G22</f>
        <v>10</v>
      </c>
      <c r="I22" s="67">
        <f>H22</f>
        <v>10</v>
      </c>
    </row>
    <row r="23" spans="3:10" ht="14.25">
      <c r="C23" s="68" t="s">
        <v>216</v>
      </c>
      <c r="D23" s="21"/>
      <c r="E23" s="69">
        <v>0</v>
      </c>
      <c r="F23" s="69">
        <v>0.025</v>
      </c>
      <c r="G23" s="69">
        <v>0.075</v>
      </c>
      <c r="H23" s="69">
        <v>0.175</v>
      </c>
      <c r="I23" s="70">
        <v>0.361</v>
      </c>
      <c r="J23" s="70"/>
    </row>
    <row r="24" spans="3:10" ht="14.25">
      <c r="C24" s="68" t="s">
        <v>217</v>
      </c>
      <c r="D24" s="21"/>
      <c r="E24" s="66">
        <f>E23*(E22*E21)</f>
        <v>0</v>
      </c>
      <c r="F24" s="66">
        <f>F23*(F22*F21)</f>
        <v>1244.7365</v>
      </c>
      <c r="G24" s="66">
        <f>G23*(G22*G21)</f>
        <v>3740.9310771</v>
      </c>
      <c r="H24" s="66">
        <f>H23*(H22*H21)</f>
        <v>8744.55109042382</v>
      </c>
      <c r="I24" s="66">
        <f>I23*(I22*I21)</f>
        <v>18071.229445380322</v>
      </c>
      <c r="J24" s="71"/>
    </row>
    <row r="25" spans="3:9" ht="14.25">
      <c r="C25" s="65" t="s">
        <v>218</v>
      </c>
      <c r="D25" s="21"/>
      <c r="E25" s="72">
        <v>0.5</v>
      </c>
      <c r="F25" s="72">
        <v>0.5</v>
      </c>
      <c r="G25" s="72">
        <v>0.5</v>
      </c>
      <c r="H25" s="72">
        <v>0.5</v>
      </c>
      <c r="I25" s="72">
        <v>0.5</v>
      </c>
    </row>
    <row r="26" spans="3:9" ht="14.25">
      <c r="C26" s="65" t="s">
        <v>183</v>
      </c>
      <c r="D26" s="21"/>
      <c r="E26" s="73">
        <f>ROUND(E25*(E24-D24),0)</f>
        <v>0</v>
      </c>
      <c r="F26" s="73">
        <f>ROUND(F25*(F24-E24),0)</f>
        <v>622</v>
      </c>
      <c r="G26" s="73">
        <f>ROUND(G25*(G24-F24),0)</f>
        <v>1248</v>
      </c>
      <c r="H26" s="73">
        <f>ROUND(H25*(H24-G24),0)</f>
        <v>2502</v>
      </c>
      <c r="I26" s="73">
        <f>ROUND(I25*(I24-H24),0)</f>
        <v>4663</v>
      </c>
    </row>
    <row r="27" spans="3:9" ht="14.25">
      <c r="C27" s="74"/>
      <c r="D27" s="21"/>
      <c r="E27" s="64"/>
      <c r="F27" s="64"/>
      <c r="G27" s="64"/>
      <c r="H27" s="64"/>
      <c r="I27" s="75"/>
    </row>
    <row r="28" spans="2:9" ht="14.25">
      <c r="B28" s="63" t="s">
        <v>184</v>
      </c>
      <c r="C28" s="54"/>
      <c r="D28" s="54"/>
      <c r="E28" s="64"/>
      <c r="F28" s="64"/>
      <c r="G28" s="64"/>
      <c r="H28" s="64"/>
      <c r="I28" s="75"/>
    </row>
    <row r="29" spans="3:9" ht="14.25">
      <c r="C29" s="65" t="s">
        <v>214</v>
      </c>
      <c r="D29" s="21"/>
      <c r="E29" s="66">
        <f>E8</f>
        <v>3373</v>
      </c>
      <c r="F29" s="66">
        <f>F8</f>
        <v>3645.5384</v>
      </c>
      <c r="G29" s="66">
        <f>G8</f>
        <v>3940.0979027199996</v>
      </c>
      <c r="H29" s="66">
        <f>H8</f>
        <v>4258.457813259775</v>
      </c>
      <c r="I29" s="66">
        <f>I8</f>
        <v>4602.5412045711655</v>
      </c>
    </row>
    <row r="30" spans="3:9" ht="14.25">
      <c r="C30" s="65" t="s">
        <v>215</v>
      </c>
      <c r="D30" s="21"/>
      <c r="E30" s="67">
        <v>1</v>
      </c>
      <c r="F30" s="67">
        <f>+E30</f>
        <v>1</v>
      </c>
      <c r="G30" s="67">
        <f>F30</f>
        <v>1</v>
      </c>
      <c r="H30" s="67">
        <f>G30</f>
        <v>1</v>
      </c>
      <c r="I30" s="67">
        <f>H30</f>
        <v>1</v>
      </c>
    </row>
    <row r="31" spans="3:9" ht="14.25">
      <c r="C31" s="68" t="s">
        <v>216</v>
      </c>
      <c r="D31" s="21"/>
      <c r="E31" s="69">
        <v>0</v>
      </c>
      <c r="F31" s="69">
        <v>0</v>
      </c>
      <c r="G31" s="69">
        <v>0.01</v>
      </c>
      <c r="H31" s="69">
        <v>0.025</v>
      </c>
      <c r="I31" s="70">
        <v>0.05</v>
      </c>
    </row>
    <row r="32" spans="3:9" ht="14.25">
      <c r="C32" s="68" t="s">
        <v>217</v>
      </c>
      <c r="D32" s="21"/>
      <c r="E32" s="66">
        <f>E31*(E30*E29)</f>
        <v>0</v>
      </c>
      <c r="F32" s="66">
        <f>F31*(F30*F29)</f>
        <v>0</v>
      </c>
      <c r="G32" s="66">
        <f>G31*(G30*G29)</f>
        <v>39.400979027199995</v>
      </c>
      <c r="H32" s="66">
        <f>H31*(H30*H29)</f>
        <v>106.46144533149439</v>
      </c>
      <c r="I32" s="66">
        <f>I31*(I30*I29)</f>
        <v>230.1270602285583</v>
      </c>
    </row>
    <row r="33" spans="3:9" ht="14.25">
      <c r="C33" s="65" t="s">
        <v>218</v>
      </c>
      <c r="D33" s="21"/>
      <c r="E33" s="72">
        <v>0.5</v>
      </c>
      <c r="F33" s="72">
        <v>0.5</v>
      </c>
      <c r="G33" s="72">
        <v>0.5</v>
      </c>
      <c r="H33" s="72">
        <v>0.5</v>
      </c>
      <c r="I33" s="72">
        <v>0.5</v>
      </c>
    </row>
    <row r="34" spans="3:9" ht="14.25">
      <c r="C34" s="65" t="s">
        <v>183</v>
      </c>
      <c r="D34" s="21"/>
      <c r="E34" s="73">
        <f>ROUND(E33*(E32-D32),0)</f>
        <v>0</v>
      </c>
      <c r="F34" s="73">
        <f>ROUND(F33*(F32-E32),0)</f>
        <v>0</v>
      </c>
      <c r="G34" s="73">
        <f>ROUND(G33*(G32-F32),0)</f>
        <v>20</v>
      </c>
      <c r="H34" s="73">
        <f>ROUND(H33*(H32-G32),0)</f>
        <v>34</v>
      </c>
      <c r="I34" s="73">
        <f>ROUND(I33*(I32-H32),0)</f>
        <v>62</v>
      </c>
    </row>
    <row r="35" spans="3:9" ht="14.25">
      <c r="C35" s="74"/>
      <c r="D35" s="21"/>
      <c r="E35" s="64"/>
      <c r="F35" s="64"/>
      <c r="G35" s="64"/>
      <c r="H35" s="64"/>
      <c r="I35" s="64"/>
    </row>
    <row r="36" spans="2:9" ht="14.25">
      <c r="B36" s="63" t="s">
        <v>185</v>
      </c>
      <c r="C36" s="54"/>
      <c r="D36" s="54"/>
      <c r="E36" s="64"/>
      <c r="F36" s="64"/>
      <c r="G36" s="64"/>
      <c r="H36" s="64"/>
      <c r="I36" s="64"/>
    </row>
    <row r="37" spans="3:9" ht="14.25">
      <c r="C37" s="65" t="s">
        <v>214</v>
      </c>
      <c r="D37" s="21"/>
      <c r="E37" s="66">
        <f>E10</f>
        <v>1291</v>
      </c>
      <c r="F37" s="66">
        <f>F10</f>
        <v>1303.7809</v>
      </c>
      <c r="G37" s="66">
        <f>G10</f>
        <v>1316.68833091</v>
      </c>
      <c r="H37" s="66">
        <f>H10</f>
        <v>1329.7235453860092</v>
      </c>
      <c r="I37" s="66">
        <f>I10</f>
        <v>1342.8878084853307</v>
      </c>
    </row>
    <row r="38" spans="3:9" ht="14.25">
      <c r="C38" s="65" t="s">
        <v>215</v>
      </c>
      <c r="D38" s="21"/>
      <c r="E38" s="67">
        <v>1</v>
      </c>
      <c r="F38" s="67">
        <f>+E38</f>
        <v>1</v>
      </c>
      <c r="G38" s="67">
        <f>F38</f>
        <v>1</v>
      </c>
      <c r="H38" s="67">
        <f>G38</f>
        <v>1</v>
      </c>
      <c r="I38" s="67">
        <f>H38</f>
        <v>1</v>
      </c>
    </row>
    <row r="39" spans="3:9" ht="14.25">
      <c r="C39" s="68" t="s">
        <v>216</v>
      </c>
      <c r="D39" s="21"/>
      <c r="E39" s="69">
        <v>0</v>
      </c>
      <c r="F39" s="69">
        <v>0.01</v>
      </c>
      <c r="G39" s="69">
        <v>0.03</v>
      </c>
      <c r="H39" s="69">
        <v>0.06</v>
      </c>
      <c r="I39" s="70">
        <v>0.12</v>
      </c>
    </row>
    <row r="40" spans="3:9" ht="14.25">
      <c r="C40" s="68" t="s">
        <v>217</v>
      </c>
      <c r="D40" s="21"/>
      <c r="E40" s="66">
        <f>E39*(E38*E37)</f>
        <v>0</v>
      </c>
      <c r="F40" s="66">
        <f>F39*(F38*F37)</f>
        <v>13.037809</v>
      </c>
      <c r="G40" s="66">
        <f>G39*(G38*G37)</f>
        <v>39.5006499273</v>
      </c>
      <c r="H40" s="66">
        <f>H39*(H38*H37)</f>
        <v>79.78341272316055</v>
      </c>
      <c r="I40" s="66">
        <f>I39*(I38*I37)</f>
        <v>161.14653701823968</v>
      </c>
    </row>
    <row r="41" spans="3:9" ht="14.25">
      <c r="C41" s="65" t="s">
        <v>218</v>
      </c>
      <c r="D41" s="21"/>
      <c r="E41" s="72">
        <v>0.5</v>
      </c>
      <c r="F41" s="72">
        <v>0.5</v>
      </c>
      <c r="G41" s="72">
        <v>0.5</v>
      </c>
      <c r="H41" s="72">
        <v>0.5</v>
      </c>
      <c r="I41" s="72">
        <v>0.5</v>
      </c>
    </row>
    <row r="42" spans="3:9" ht="14.25">
      <c r="C42" s="65" t="s">
        <v>183</v>
      </c>
      <c r="D42" s="21"/>
      <c r="E42" s="73">
        <f>ROUND(E41*(E40-D40),0)</f>
        <v>0</v>
      </c>
      <c r="F42" s="73">
        <f>ROUND(F41*(F40-E40),0)</f>
        <v>7</v>
      </c>
      <c r="G42" s="73">
        <f>ROUND(G41*(G40-F40),0)</f>
        <v>13</v>
      </c>
      <c r="H42" s="73">
        <f>ROUND(H41*(H40-G40),0)</f>
        <v>20</v>
      </c>
      <c r="I42" s="73">
        <f>ROUND(I41*(I40-H40),0)</f>
        <v>41</v>
      </c>
    </row>
    <row r="43" spans="3:9" ht="14.25">
      <c r="C43" s="74"/>
      <c r="D43" s="21"/>
      <c r="E43" s="64"/>
      <c r="F43" s="64"/>
      <c r="G43" s="64"/>
      <c r="H43" s="64"/>
      <c r="I43" s="64"/>
    </row>
    <row r="44" spans="2:9" ht="14.25" hidden="1">
      <c r="B44" s="63" t="s">
        <v>186</v>
      </c>
      <c r="C44" s="54"/>
      <c r="D44" s="54"/>
      <c r="E44" s="64"/>
      <c r="F44" s="64"/>
      <c r="G44" s="64"/>
      <c r="H44" s="64"/>
      <c r="I44" s="64"/>
    </row>
    <row r="45" spans="3:9" ht="14.25" hidden="1">
      <c r="C45" s="65" t="s">
        <v>214</v>
      </c>
      <c r="D45" s="21"/>
      <c r="E45" s="66">
        <f>E12</f>
        <v>0</v>
      </c>
      <c r="F45" s="66">
        <f>F12</f>
        <v>0</v>
      </c>
      <c r="G45" s="66">
        <f>G12</f>
        <v>0</v>
      </c>
      <c r="H45" s="66">
        <f>H12</f>
        <v>0</v>
      </c>
      <c r="I45" s="66">
        <f>I12</f>
        <v>0</v>
      </c>
    </row>
    <row r="46" spans="3:9" ht="14.25" hidden="1">
      <c r="C46" s="65" t="s">
        <v>215</v>
      </c>
      <c r="D46" s="21"/>
      <c r="E46" s="67">
        <v>1</v>
      </c>
      <c r="F46" s="67">
        <f>E46</f>
        <v>1</v>
      </c>
      <c r="G46" s="67">
        <f>F46</f>
        <v>1</v>
      </c>
      <c r="H46" s="67">
        <f>G46</f>
        <v>1</v>
      </c>
      <c r="I46" s="67">
        <f>H46</f>
        <v>1</v>
      </c>
    </row>
    <row r="47" spans="3:9" ht="14.25" hidden="1">
      <c r="C47" s="68" t="s">
        <v>216</v>
      </c>
      <c r="D47" s="21"/>
      <c r="E47" s="69">
        <v>0</v>
      </c>
      <c r="F47" s="69">
        <v>0.01</v>
      </c>
      <c r="G47" s="69">
        <v>0.03</v>
      </c>
      <c r="H47" s="69">
        <v>0.07</v>
      </c>
      <c r="I47" s="70">
        <v>0.14</v>
      </c>
    </row>
    <row r="48" spans="3:9" ht="14.25" hidden="1">
      <c r="C48" s="68" t="s">
        <v>217</v>
      </c>
      <c r="D48" s="21"/>
      <c r="E48" s="66">
        <f>E47*(E46*E45)</f>
        <v>0</v>
      </c>
      <c r="F48" s="66">
        <f>F47*(F46*F45)</f>
        <v>0</v>
      </c>
      <c r="G48" s="66">
        <f>G47*(G46*G45)</f>
        <v>0</v>
      </c>
      <c r="H48" s="66">
        <f>H47*(H46*H45)</f>
        <v>0</v>
      </c>
      <c r="I48" s="66">
        <f>I47*(I46*I45)</f>
        <v>0</v>
      </c>
    </row>
    <row r="49" spans="3:9" ht="14.25" hidden="1">
      <c r="C49" s="65" t="s">
        <v>218</v>
      </c>
      <c r="D49" s="21"/>
      <c r="E49" s="72">
        <v>0.5</v>
      </c>
      <c r="F49" s="72">
        <v>0.5</v>
      </c>
      <c r="G49" s="72">
        <v>0.5</v>
      </c>
      <c r="H49" s="72">
        <v>0.5</v>
      </c>
      <c r="I49" s="72">
        <v>0.5</v>
      </c>
    </row>
    <row r="50" spans="3:9" ht="14.25" hidden="1">
      <c r="C50" s="65" t="s">
        <v>183</v>
      </c>
      <c r="D50" s="21"/>
      <c r="E50" s="73">
        <f>ROUND(E49*(E48-D48),0)</f>
        <v>0</v>
      </c>
      <c r="F50" s="73">
        <f>ROUND(F49*(F48-E48),0)</f>
        <v>0</v>
      </c>
      <c r="G50" s="73">
        <f>ROUND(G49*(G48-F48),0)</f>
        <v>0</v>
      </c>
      <c r="H50" s="73">
        <f>ROUND(H49*(H48-G48),0)</f>
        <v>0</v>
      </c>
      <c r="I50" s="73">
        <f>ROUND(I49*(I48-H48),0)</f>
        <v>0</v>
      </c>
    </row>
    <row r="51" spans="3:9" ht="14.25" hidden="1">
      <c r="C51" s="74"/>
      <c r="D51" s="21"/>
      <c r="E51" s="64"/>
      <c r="F51" s="64"/>
      <c r="G51" s="64"/>
      <c r="H51" s="64"/>
      <c r="I51" s="64"/>
    </row>
    <row r="52" spans="2:9" ht="14.25">
      <c r="B52" s="63" t="s">
        <v>187</v>
      </c>
      <c r="C52" s="54"/>
      <c r="D52" s="54"/>
      <c r="E52" s="64"/>
      <c r="F52" s="64"/>
      <c r="G52" s="64"/>
      <c r="H52" s="64"/>
      <c r="I52" s="64"/>
    </row>
    <row r="53" spans="3:9" ht="14.25">
      <c r="C53" s="65" t="s">
        <v>214</v>
      </c>
      <c r="D53" s="21"/>
      <c r="E53" s="66">
        <f>E14</f>
        <v>5577</v>
      </c>
      <c r="F53" s="66">
        <f>F14</f>
        <v>5868.6771</v>
      </c>
      <c r="G53" s="66">
        <f>G14</f>
        <v>6175.60891233</v>
      </c>
      <c r="H53" s="66">
        <f>H14</f>
        <v>6498.593258444859</v>
      </c>
      <c r="I53" s="66">
        <f>I14</f>
        <v>6838.469685861525</v>
      </c>
    </row>
    <row r="54" spans="3:9" ht="14.25">
      <c r="C54" s="65" t="s">
        <v>215</v>
      </c>
      <c r="D54" s="21"/>
      <c r="E54" s="67">
        <v>1</v>
      </c>
      <c r="F54" s="67">
        <f>E54</f>
        <v>1</v>
      </c>
      <c r="G54" s="67">
        <f>F54</f>
        <v>1</v>
      </c>
      <c r="H54" s="67">
        <f>G54</f>
        <v>1</v>
      </c>
      <c r="I54" s="67">
        <f>H54</f>
        <v>1</v>
      </c>
    </row>
    <row r="55" spans="3:9" ht="14.25">
      <c r="C55" s="68" t="s">
        <v>216</v>
      </c>
      <c r="D55" s="21"/>
      <c r="E55" s="69">
        <v>0</v>
      </c>
      <c r="F55" s="69">
        <v>0.01</v>
      </c>
      <c r="G55" s="69">
        <v>0.03</v>
      </c>
      <c r="H55" s="70">
        <v>0.06</v>
      </c>
      <c r="I55" s="70">
        <v>0.12</v>
      </c>
    </row>
    <row r="56" spans="3:9" ht="14.25">
      <c r="C56" s="68" t="s">
        <v>217</v>
      </c>
      <c r="D56" s="21"/>
      <c r="E56" s="66">
        <f>E55*(E54*E53)</f>
        <v>0</v>
      </c>
      <c r="F56" s="66">
        <f>F55*(F54*F53)</f>
        <v>58.686771</v>
      </c>
      <c r="G56" s="66">
        <f>G55*(G54*G53)</f>
        <v>185.2682673699</v>
      </c>
      <c r="H56" s="66">
        <f>H55*(H54*H53)</f>
        <v>389.91559550669155</v>
      </c>
      <c r="I56" s="66">
        <f>I55*(I54*I53)</f>
        <v>820.616362303383</v>
      </c>
    </row>
    <row r="57" spans="3:9" ht="14.25">
      <c r="C57" s="65" t="s">
        <v>218</v>
      </c>
      <c r="D57" s="21"/>
      <c r="E57" s="72">
        <v>0.5</v>
      </c>
      <c r="F57" s="72">
        <v>0.5</v>
      </c>
      <c r="G57" s="72">
        <v>0.5</v>
      </c>
      <c r="H57" s="72">
        <v>0.5</v>
      </c>
      <c r="I57" s="72">
        <v>0.5</v>
      </c>
    </row>
    <row r="58" spans="3:9" ht="14.25">
      <c r="C58" s="65" t="s">
        <v>183</v>
      </c>
      <c r="D58" s="21"/>
      <c r="E58" s="73">
        <f>ROUND(E57*(E56-D56),0)</f>
        <v>0</v>
      </c>
      <c r="F58" s="73">
        <f>ROUND(F57*(F56-E56),0)</f>
        <v>29</v>
      </c>
      <c r="G58" s="73">
        <f>ROUND(G57*(G56-F56),0)</f>
        <v>63</v>
      </c>
      <c r="H58" s="73">
        <f>ROUND(H57*(H56-G56),0)</f>
        <v>102</v>
      </c>
      <c r="I58" s="73">
        <f>ROUND(I57*(I56-H56),0)</f>
        <v>215</v>
      </c>
    </row>
    <row r="59" spans="3:9" ht="14.25">
      <c r="C59" s="74"/>
      <c r="D59" s="21"/>
      <c r="E59" s="64"/>
      <c r="F59" s="64"/>
      <c r="G59" s="64"/>
      <c r="H59" s="64"/>
      <c r="I59" s="64"/>
    </row>
    <row r="60" spans="2:9" ht="14.25">
      <c r="B60" s="63" t="s">
        <v>188</v>
      </c>
      <c r="C60" s="54"/>
      <c r="D60" s="54"/>
      <c r="E60" s="64"/>
      <c r="F60" s="64"/>
      <c r="G60" s="64"/>
      <c r="H60" s="64"/>
      <c r="I60" s="64"/>
    </row>
    <row r="61" spans="3:9" ht="14.25">
      <c r="C61" s="65" t="s">
        <v>214</v>
      </c>
      <c r="D61" s="21"/>
      <c r="E61" s="66" t="e">
        <f>E16</f>
        <v>#REF!</v>
      </c>
      <c r="F61" s="66" t="e">
        <f>F16</f>
        <v>#REF!</v>
      </c>
      <c r="G61" s="66" t="e">
        <f>G16</f>
        <v>#REF!</v>
      </c>
      <c r="H61" s="66" t="e">
        <f>H16</f>
        <v>#REF!</v>
      </c>
      <c r="I61" s="66" t="e">
        <f>I16</f>
        <v>#REF!</v>
      </c>
    </row>
    <row r="62" spans="3:9" ht="14.25">
      <c r="C62" s="65" t="s">
        <v>215</v>
      </c>
      <c r="D62" s="21"/>
      <c r="E62" s="67">
        <v>1</v>
      </c>
      <c r="F62" s="67">
        <f>E62</f>
        <v>1</v>
      </c>
      <c r="G62" s="67">
        <f>F62</f>
        <v>1</v>
      </c>
      <c r="H62" s="67">
        <f>G62</f>
        <v>1</v>
      </c>
      <c r="I62" s="67">
        <f>H62</f>
        <v>1</v>
      </c>
    </row>
    <row r="63" spans="3:9" ht="14.25">
      <c r="C63" s="68" t="s">
        <v>216</v>
      </c>
      <c r="D63" s="21"/>
      <c r="E63" s="69">
        <v>0</v>
      </c>
      <c r="F63" s="69">
        <v>0.0025</v>
      </c>
      <c r="G63" s="69">
        <v>0.0075</v>
      </c>
      <c r="H63" s="69">
        <v>0.015</v>
      </c>
      <c r="I63" s="70">
        <v>0.0325</v>
      </c>
    </row>
    <row r="64" spans="3:9" ht="14.25">
      <c r="C64" s="68" t="s">
        <v>217</v>
      </c>
      <c r="D64" s="21"/>
      <c r="E64" s="66" t="e">
        <f>E63*(E62*E61)</f>
        <v>#REF!</v>
      </c>
      <c r="F64" s="66" t="e">
        <f>F63*(F62*F61)</f>
        <v>#REF!</v>
      </c>
      <c r="G64" s="66" t="e">
        <f>G63*(G62*G61)</f>
        <v>#REF!</v>
      </c>
      <c r="H64" s="66" t="e">
        <f>H63*(H62*H61)</f>
        <v>#REF!</v>
      </c>
      <c r="I64" s="66" t="e">
        <f>I63*(I62*I61)</f>
        <v>#REF!</v>
      </c>
    </row>
    <row r="65" spans="3:9" ht="14.25">
      <c r="C65" s="65" t="s">
        <v>218</v>
      </c>
      <c r="D65" s="21"/>
      <c r="E65" s="72">
        <v>0.5</v>
      </c>
      <c r="F65" s="72">
        <v>0.5</v>
      </c>
      <c r="G65" s="72">
        <v>0.5</v>
      </c>
      <c r="H65" s="72">
        <v>0.5</v>
      </c>
      <c r="I65" s="72">
        <v>0.5</v>
      </c>
    </row>
    <row r="66" spans="3:9" ht="14.25">
      <c r="C66" s="65" t="s">
        <v>183</v>
      </c>
      <c r="D66" s="21"/>
      <c r="E66" s="73" t="e">
        <f>ROUND(E65*(E64-D64),0)</f>
        <v>#REF!</v>
      </c>
      <c r="F66" s="73" t="e">
        <f>ROUND(F65*(F64-E64),0)</f>
        <v>#REF!</v>
      </c>
      <c r="G66" s="73" t="e">
        <f>ROUND(G65*(G64-F64),0)</f>
        <v>#REF!</v>
      </c>
      <c r="H66" s="73" t="e">
        <f>ROUND(H65*(H64-G64),0)</f>
        <v>#REF!</v>
      </c>
      <c r="I66" s="73" t="e">
        <f>ROUND(I65*(I64-H64),0)</f>
        <v>#REF!</v>
      </c>
    </row>
    <row r="67" spans="2:9" s="76" customFormat="1" ht="11.25">
      <c r="B67" s="77"/>
      <c r="C67" s="78"/>
      <c r="D67" s="21"/>
      <c r="E67" s="79"/>
      <c r="F67" s="79"/>
      <c r="G67" s="79"/>
      <c r="H67" s="79"/>
      <c r="I67" s="79"/>
    </row>
    <row r="68" spans="3:9" s="76" customFormat="1" ht="12" thickBot="1">
      <c r="C68" s="80" t="s">
        <v>189</v>
      </c>
      <c r="E68" s="81" t="e">
        <f>SUM(E26+E34+E42+E50+E58+E66)</f>
        <v>#REF!</v>
      </c>
      <c r="F68" s="81" t="e">
        <f>SUM(F26+F34+F42+F50+F58+F66)</f>
        <v>#REF!</v>
      </c>
      <c r="G68" s="81" t="e">
        <f>SUM(G26+G34+G42+G50+G58+G66)</f>
        <v>#REF!</v>
      </c>
      <c r="H68" s="81" t="e">
        <f>SUM(H26+H34+H42+H50+H58+H66)</f>
        <v>#REF!</v>
      </c>
      <c r="I68" s="81" t="e">
        <f>SUM(I26+I34+I42+I50+I58+I66)</f>
        <v>#REF!</v>
      </c>
    </row>
    <row r="69" spans="5:9" s="76" customFormat="1" ht="12" thickTop="1">
      <c r="E69" s="82"/>
      <c r="F69" s="82"/>
      <c r="G69" s="82"/>
      <c r="H69" s="82"/>
      <c r="I69" s="82"/>
    </row>
    <row r="70" spans="3:9" s="76" customFormat="1" ht="11.25">
      <c r="C70" s="76" t="s">
        <v>62</v>
      </c>
      <c r="G70" s="84" t="e">
        <f>+G68/F68-1</f>
        <v>#REF!</v>
      </c>
      <c r="H70" s="84" t="e">
        <f>+H68/G68-1</f>
        <v>#REF!</v>
      </c>
      <c r="I70" s="84" t="e">
        <f>+I68/H68-1</f>
        <v>#REF!</v>
      </c>
    </row>
    <row r="71" s="76" customFormat="1" ht="11.25"/>
    <row r="72" s="76" customFormat="1" ht="11.25"/>
    <row r="73" spans="1:15" s="76" customFormat="1" ht="12" thickBo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s="76" customFormat="1" ht="15">
      <c r="A74" s="62" t="s">
        <v>73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s="76" customFormat="1" ht="15">
      <c r="A75" s="49"/>
      <c r="B75" s="49"/>
      <c r="C75" s="49"/>
      <c r="D75" s="49"/>
      <c r="E75" s="40" t="s">
        <v>105</v>
      </c>
      <c r="F75" s="40" t="s">
        <v>106</v>
      </c>
      <c r="G75" s="40" t="s">
        <v>107</v>
      </c>
      <c r="H75" s="40" t="s">
        <v>108</v>
      </c>
      <c r="I75" s="40" t="s">
        <v>109</v>
      </c>
      <c r="J75" s="49"/>
      <c r="K75" s="40" t="s">
        <v>105</v>
      </c>
      <c r="L75" s="40" t="s">
        <v>106</v>
      </c>
      <c r="M75" s="40" t="s">
        <v>107</v>
      </c>
      <c r="N75" s="40" t="s">
        <v>108</v>
      </c>
      <c r="O75" s="40" t="s">
        <v>109</v>
      </c>
    </row>
    <row r="76" spans="2:9" ht="14.25">
      <c r="B76" s="63" t="s">
        <v>213</v>
      </c>
      <c r="C76" s="54"/>
      <c r="D76" s="54"/>
      <c r="E76" s="64"/>
      <c r="F76" s="64"/>
      <c r="G76" s="64"/>
      <c r="H76" s="64"/>
      <c r="I76" s="64"/>
    </row>
    <row r="77" spans="3:9" ht="14.25">
      <c r="C77" s="65" t="s">
        <v>183</v>
      </c>
      <c r="D77" s="21"/>
      <c r="E77" s="66">
        <f>+E26</f>
        <v>0</v>
      </c>
      <c r="F77" s="66">
        <f>+F26</f>
        <v>622</v>
      </c>
      <c r="G77" s="66">
        <f>+G26</f>
        <v>1248</v>
      </c>
      <c r="H77" s="66">
        <f>+H26</f>
        <v>2502</v>
      </c>
      <c r="I77" s="66">
        <f>+I26</f>
        <v>4663</v>
      </c>
    </row>
    <row r="78" spans="3:9" ht="14.25">
      <c r="C78" s="65" t="s">
        <v>64</v>
      </c>
      <c r="D78" s="21"/>
      <c r="E78" s="66"/>
      <c r="F78" s="66"/>
      <c r="G78" s="66"/>
      <c r="H78" s="66"/>
      <c r="I78" s="66"/>
    </row>
    <row r="79" spans="3:15" ht="14.25">
      <c r="C79" s="65" t="s">
        <v>65</v>
      </c>
      <c r="D79" s="21"/>
      <c r="E79" s="85">
        <v>0.5</v>
      </c>
      <c r="F79" s="85">
        <v>0.5</v>
      </c>
      <c r="G79" s="85">
        <v>0.5</v>
      </c>
      <c r="H79" s="85">
        <v>0.5</v>
      </c>
      <c r="I79" s="85">
        <v>0.5</v>
      </c>
      <c r="K79" s="66">
        <f>ROUND(+E79*E77,0)</f>
        <v>0</v>
      </c>
      <c r="L79" s="66">
        <f>ROUND(+F79*F77,0)</f>
        <v>311</v>
      </c>
      <c r="M79" s="66">
        <f>ROUND(+G79*G77,0)</f>
        <v>624</v>
      </c>
      <c r="N79" s="66">
        <f>ROUND(+H79*H77,0)</f>
        <v>1251</v>
      </c>
      <c r="O79" s="66">
        <f>ROUND(+I79*I77,0)</f>
        <v>2332</v>
      </c>
    </row>
    <row r="80" spans="3:15" ht="14.25">
      <c r="C80" s="65" t="s">
        <v>66</v>
      </c>
      <c r="D80" s="21"/>
      <c r="E80" s="47">
        <f>1-E79</f>
        <v>0.5</v>
      </c>
      <c r="F80" s="47">
        <f>1-F79</f>
        <v>0.5</v>
      </c>
      <c r="G80" s="47">
        <f>1-G79</f>
        <v>0.5</v>
      </c>
      <c r="H80" s="47">
        <f>1-H79</f>
        <v>0.5</v>
      </c>
      <c r="I80" s="47">
        <f>1-I79</f>
        <v>0.5</v>
      </c>
      <c r="J80" s="70"/>
      <c r="K80" s="66">
        <f>ROUND(+E80*E77,0)</f>
        <v>0</v>
      </c>
      <c r="L80" s="66">
        <f>ROUND(+F80*F77,0)</f>
        <v>311</v>
      </c>
      <c r="M80" s="66">
        <f>ROUND(+G80*G77,0)</f>
        <v>624</v>
      </c>
      <c r="N80" s="66">
        <f>ROUND(+H80*H77,0)</f>
        <v>1251</v>
      </c>
      <c r="O80" s="66">
        <f>ROUND(+I80*I77,0)</f>
        <v>2332</v>
      </c>
    </row>
    <row r="81" spans="3:10" ht="14.25">
      <c r="C81" s="65" t="s">
        <v>67</v>
      </c>
      <c r="D81" s="21"/>
      <c r="E81" s="47"/>
      <c r="F81" s="47"/>
      <c r="G81" s="47"/>
      <c r="H81" s="47"/>
      <c r="I81" s="47"/>
      <c r="J81" s="70"/>
    </row>
    <row r="82" spans="3:15" ht="14.25">
      <c r="C82" s="65" t="s">
        <v>68</v>
      </c>
      <c r="D82" s="21"/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70"/>
      <c r="K82" s="66">
        <f>ROUND(+E82*E77,0)</f>
        <v>0</v>
      </c>
      <c r="L82" s="66">
        <f>ROUND(+F82*F77,0)</f>
        <v>0</v>
      </c>
      <c r="M82" s="66">
        <f>ROUND(+G82*G77,0)</f>
        <v>0</v>
      </c>
      <c r="N82" s="66">
        <f>ROUND(+H82*H77,0)</f>
        <v>0</v>
      </c>
      <c r="O82" s="66">
        <f>ROUND(+I82*I77,0)</f>
        <v>0</v>
      </c>
    </row>
    <row r="83" spans="3:15" ht="14.25">
      <c r="C83" s="65" t="s">
        <v>69</v>
      </c>
      <c r="D83" s="21"/>
      <c r="E83" s="47">
        <v>0.3</v>
      </c>
      <c r="F83" s="47">
        <v>0.3</v>
      </c>
      <c r="G83" s="47">
        <v>0.25</v>
      </c>
      <c r="H83" s="47">
        <v>0.2</v>
      </c>
      <c r="I83" s="47">
        <v>0.15</v>
      </c>
      <c r="J83" s="70"/>
      <c r="K83" s="66">
        <f>ROUND(+E83*E77,0)</f>
        <v>0</v>
      </c>
      <c r="L83" s="66">
        <f>ROUND(+F83*F77,0)</f>
        <v>187</v>
      </c>
      <c r="M83" s="66">
        <f>ROUND(+G83*G77,0)</f>
        <v>312</v>
      </c>
      <c r="N83" s="66">
        <f>ROUND(+H83*H77,0)</f>
        <v>500</v>
      </c>
      <c r="O83" s="66">
        <f>ROUND(+I83*I77,0)</f>
        <v>699</v>
      </c>
    </row>
    <row r="84" spans="3:15" ht="14.25">
      <c r="C84" s="65" t="s">
        <v>70</v>
      </c>
      <c r="D84" s="21"/>
      <c r="E84" s="47">
        <v>0.4</v>
      </c>
      <c r="F84" s="47">
        <v>0.4</v>
      </c>
      <c r="G84" s="47">
        <v>0.45</v>
      </c>
      <c r="H84" s="47">
        <v>0.5</v>
      </c>
      <c r="I84" s="47">
        <v>0.55</v>
      </c>
      <c r="J84" s="70"/>
      <c r="K84" s="66">
        <f>ROUND(+E84*E77,0)</f>
        <v>0</v>
      </c>
      <c r="L84" s="66">
        <f>ROUND(+F84*F77,0)</f>
        <v>249</v>
      </c>
      <c r="M84" s="66">
        <f>ROUND(+G84*G77,0)</f>
        <v>562</v>
      </c>
      <c r="N84" s="66">
        <f>ROUND(+H84*H77,0)</f>
        <v>1251</v>
      </c>
      <c r="O84" s="66">
        <f>ROUND(+I84*I77,0)</f>
        <v>2565</v>
      </c>
    </row>
    <row r="85" spans="3:15" ht="14.25">
      <c r="C85" s="65" t="s">
        <v>71</v>
      </c>
      <c r="D85" s="21"/>
      <c r="E85" s="47">
        <f>1-E82-E83-E84-E86</f>
        <v>0.29999999999999993</v>
      </c>
      <c r="F85" s="47">
        <f>1-F82-F83-F84-F86</f>
        <v>0.2799999999999999</v>
      </c>
      <c r="G85" s="47">
        <f>1-G82-G83-G84-G86</f>
        <v>0.3</v>
      </c>
      <c r="H85" s="47">
        <f>1-H82-H83-H84-H86</f>
        <v>0.30000000000000004</v>
      </c>
      <c r="I85" s="47">
        <f>1-I82-I83-I84-I86</f>
        <v>0.29999999999999993</v>
      </c>
      <c r="J85" s="70"/>
      <c r="K85" s="66">
        <f>ROUND(+E85*E77,0)</f>
        <v>0</v>
      </c>
      <c r="L85" s="66">
        <f>ROUND(+F85*F77,0)</f>
        <v>174</v>
      </c>
      <c r="M85" s="66">
        <f>ROUND(+G85*G77,0)</f>
        <v>374</v>
      </c>
      <c r="N85" s="66">
        <f>ROUND(+H85*H77,0)</f>
        <v>751</v>
      </c>
      <c r="O85" s="66">
        <f>ROUND(+I85*I77,0)</f>
        <v>1399</v>
      </c>
    </row>
    <row r="86" spans="3:15" ht="14.25">
      <c r="C86" s="68" t="s">
        <v>72</v>
      </c>
      <c r="D86" s="21"/>
      <c r="E86" s="47">
        <v>0</v>
      </c>
      <c r="F86" s="47">
        <v>0.02</v>
      </c>
      <c r="G86" s="47">
        <v>0</v>
      </c>
      <c r="H86" s="47">
        <v>0</v>
      </c>
      <c r="I86" s="47">
        <v>0</v>
      </c>
      <c r="J86" s="71"/>
      <c r="K86" s="66">
        <f>ROUND(+E86*E77,0)</f>
        <v>0</v>
      </c>
      <c r="L86" s="66">
        <f>ROUND(+F86*F77,0)</f>
        <v>12</v>
      </c>
      <c r="M86" s="66">
        <f>ROUND(+G86*G77,0)</f>
        <v>0</v>
      </c>
      <c r="N86" s="66">
        <f>ROUND(+H86*H77,0)</f>
        <v>0</v>
      </c>
      <c r="O86" s="66">
        <f>ROUND(+I86*I77,0)</f>
        <v>0</v>
      </c>
    </row>
    <row r="87" spans="3:9" ht="14.25">
      <c r="C87" s="74"/>
      <c r="D87" s="21"/>
      <c r="E87" s="64"/>
      <c r="F87" s="64"/>
      <c r="G87" s="64"/>
      <c r="H87" s="64"/>
      <c r="I87" s="75"/>
    </row>
    <row r="88" spans="2:9" ht="14.25">
      <c r="B88" s="63" t="s">
        <v>184</v>
      </c>
      <c r="C88" s="54"/>
      <c r="D88" s="54"/>
      <c r="E88" s="64"/>
      <c r="F88" s="64"/>
      <c r="G88" s="64"/>
      <c r="H88" s="64"/>
      <c r="I88" s="75"/>
    </row>
    <row r="89" spans="3:9" ht="14.25">
      <c r="C89" s="65" t="s">
        <v>183</v>
      </c>
      <c r="D89" s="21"/>
      <c r="E89" s="66">
        <f>+E34</f>
        <v>0</v>
      </c>
      <c r="F89" s="66">
        <f>+F34</f>
        <v>0</v>
      </c>
      <c r="G89" s="66">
        <f>+G34</f>
        <v>20</v>
      </c>
      <c r="H89" s="66">
        <f>+H34</f>
        <v>34</v>
      </c>
      <c r="I89" s="66">
        <f>+I34</f>
        <v>62</v>
      </c>
    </row>
    <row r="90" spans="3:9" ht="14.25">
      <c r="C90" s="65" t="s">
        <v>64</v>
      </c>
      <c r="D90" s="21"/>
      <c r="E90" s="66"/>
      <c r="F90" s="66"/>
      <c r="G90" s="66"/>
      <c r="H90" s="66"/>
      <c r="I90" s="66"/>
    </row>
    <row r="91" spans="3:15" ht="14.25">
      <c r="C91" s="65" t="s">
        <v>65</v>
      </c>
      <c r="D91" s="21"/>
      <c r="E91" s="85">
        <v>0.8</v>
      </c>
      <c r="F91" s="85">
        <v>0.8</v>
      </c>
      <c r="G91" s="85">
        <v>0.8</v>
      </c>
      <c r="H91" s="85">
        <v>0.8</v>
      </c>
      <c r="I91" s="85">
        <v>0.8</v>
      </c>
      <c r="K91" s="66">
        <f>ROUND(+E91*E89,0)</f>
        <v>0</v>
      </c>
      <c r="L91" s="66">
        <f>ROUND(+F91*F89,0)</f>
        <v>0</v>
      </c>
      <c r="M91" s="66">
        <f>ROUND(+G91*G89,0)</f>
        <v>16</v>
      </c>
      <c r="N91" s="66">
        <f>ROUND(+H91*H89,0)</f>
        <v>27</v>
      </c>
      <c r="O91" s="66">
        <f>ROUND(+I91*I89,0)</f>
        <v>50</v>
      </c>
    </row>
    <row r="92" spans="3:15" ht="14.25">
      <c r="C92" s="65" t="s">
        <v>66</v>
      </c>
      <c r="D92" s="21"/>
      <c r="E92" s="47">
        <f>1-E91</f>
        <v>0.19999999999999996</v>
      </c>
      <c r="F92" s="47">
        <f>1-F91</f>
        <v>0.19999999999999996</v>
      </c>
      <c r="G92" s="47">
        <f>1-G91</f>
        <v>0.19999999999999996</v>
      </c>
      <c r="H92" s="47">
        <f>1-H91</f>
        <v>0.19999999999999996</v>
      </c>
      <c r="I92" s="47">
        <f>1-I91</f>
        <v>0.19999999999999996</v>
      </c>
      <c r="J92" s="70"/>
      <c r="K92" s="66">
        <f>ROUND(+E92*E89,0)</f>
        <v>0</v>
      </c>
      <c r="L92" s="66">
        <f>ROUND(+F92*F89,0)</f>
        <v>0</v>
      </c>
      <c r="M92" s="66">
        <f>ROUND(+G92*G89,0)</f>
        <v>4</v>
      </c>
      <c r="N92" s="66">
        <f>ROUND(+H92*H89,0)</f>
        <v>7</v>
      </c>
      <c r="O92" s="66">
        <f>ROUND(+I92*I89,0)</f>
        <v>12</v>
      </c>
    </row>
    <row r="93" spans="3:10" ht="14.25">
      <c r="C93" s="65" t="s">
        <v>67</v>
      </c>
      <c r="D93" s="21"/>
      <c r="E93" s="47"/>
      <c r="F93" s="47"/>
      <c r="G93" s="47"/>
      <c r="H93" s="47"/>
      <c r="I93" s="47"/>
      <c r="J93" s="70"/>
    </row>
    <row r="94" spans="3:15" ht="14.25">
      <c r="C94" s="65" t="s">
        <v>68</v>
      </c>
      <c r="D94" s="21"/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70"/>
      <c r="K94" s="66">
        <f>ROUND(+E94*E89,0)</f>
        <v>0</v>
      </c>
      <c r="L94" s="66">
        <f>ROUND(+F94*F89,0)</f>
        <v>0</v>
      </c>
      <c r="M94" s="66">
        <f>ROUND(+G94*G89,0)</f>
        <v>0</v>
      </c>
      <c r="N94" s="66">
        <f>ROUND(+H94*H89,0)</f>
        <v>0</v>
      </c>
      <c r="O94" s="66">
        <f>ROUND(+I94*I89,0)</f>
        <v>0</v>
      </c>
    </row>
    <row r="95" spans="3:15" ht="14.25">
      <c r="C95" s="65" t="s">
        <v>69</v>
      </c>
      <c r="D95" s="21"/>
      <c r="E95" s="47">
        <v>0.25</v>
      </c>
      <c r="F95" s="47">
        <v>0.25</v>
      </c>
      <c r="G95" s="47">
        <v>0.2</v>
      </c>
      <c r="H95" s="47">
        <v>0.15</v>
      </c>
      <c r="I95" s="47">
        <v>0.15</v>
      </c>
      <c r="J95" s="70"/>
      <c r="K95" s="66">
        <f>ROUND(+E95*E89,0)</f>
        <v>0</v>
      </c>
      <c r="L95" s="66">
        <f>ROUND(+F95*F89,0)</f>
        <v>0</v>
      </c>
      <c r="M95" s="66">
        <f>ROUND(+G95*G89,0)</f>
        <v>4</v>
      </c>
      <c r="N95" s="66">
        <f>ROUND(+H95*H89,0)</f>
        <v>5</v>
      </c>
      <c r="O95" s="66">
        <f>ROUND(+I95*I89,0)</f>
        <v>9</v>
      </c>
    </row>
    <row r="96" spans="3:15" ht="14.25">
      <c r="C96" s="65" t="s">
        <v>70</v>
      </c>
      <c r="D96" s="21"/>
      <c r="E96" s="47">
        <v>0.3</v>
      </c>
      <c r="F96" s="47">
        <v>0.3</v>
      </c>
      <c r="G96" s="47">
        <v>0.45</v>
      </c>
      <c r="H96" s="47">
        <v>0.5</v>
      </c>
      <c r="I96" s="47">
        <v>0.55</v>
      </c>
      <c r="J96" s="70"/>
      <c r="K96" s="66">
        <f>ROUND(+E96*E89,0)</f>
        <v>0</v>
      </c>
      <c r="L96" s="66">
        <f>ROUND(+F96*F89,0)</f>
        <v>0</v>
      </c>
      <c r="M96" s="66">
        <f>ROUND(+G96*G89,0)</f>
        <v>9</v>
      </c>
      <c r="N96" s="66">
        <f>ROUND(+H96*H89,0)</f>
        <v>17</v>
      </c>
      <c r="O96" s="66">
        <f>ROUND(+I96*I89,0)</f>
        <v>34</v>
      </c>
    </row>
    <row r="97" spans="3:15" ht="14.25">
      <c r="C97" s="65" t="s">
        <v>71</v>
      </c>
      <c r="D97" s="21"/>
      <c r="E97" s="47">
        <f>1-E94-E95-E96-E98</f>
        <v>0.45</v>
      </c>
      <c r="F97" s="47">
        <f>1-F94-F95-F96-F98</f>
        <v>0.45</v>
      </c>
      <c r="G97" s="47">
        <f>1-G94-G95-G96-G98</f>
        <v>0.35000000000000003</v>
      </c>
      <c r="H97" s="47">
        <f>1-H94-H95-H96-H98</f>
        <v>0.35</v>
      </c>
      <c r="I97" s="47">
        <f>1-I94-I95-I96-I98</f>
        <v>0.29999999999999993</v>
      </c>
      <c r="J97" s="70"/>
      <c r="K97" s="66">
        <f>ROUND(+E97*E89,0)</f>
        <v>0</v>
      </c>
      <c r="L97" s="66">
        <f>ROUND(+F97*F89,0)</f>
        <v>0</v>
      </c>
      <c r="M97" s="66">
        <f>ROUND(+G97*G89,0)</f>
        <v>7</v>
      </c>
      <c r="N97" s="66">
        <f>ROUND(+H97*H89,0)</f>
        <v>12</v>
      </c>
      <c r="O97" s="66">
        <f>ROUND(+I97*I89,0)</f>
        <v>19</v>
      </c>
    </row>
    <row r="98" spans="3:15" ht="14.25">
      <c r="C98" s="68" t="s">
        <v>72</v>
      </c>
      <c r="D98" s="21"/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71"/>
      <c r="K98" s="66">
        <f>ROUND(+E98*E89,0)</f>
        <v>0</v>
      </c>
      <c r="L98" s="66">
        <f>ROUND(+F98*F89,0)</f>
        <v>0</v>
      </c>
      <c r="M98" s="66">
        <f>ROUND(+G98*G89,0)</f>
        <v>0</v>
      </c>
      <c r="N98" s="66">
        <f>ROUND(+H98*H89,0)</f>
        <v>0</v>
      </c>
      <c r="O98" s="66">
        <f>ROUND(+I98*I89,0)</f>
        <v>0</v>
      </c>
    </row>
    <row r="99" spans="3:9" ht="14.25">
      <c r="C99" s="74"/>
      <c r="D99" s="21"/>
      <c r="E99" s="64"/>
      <c r="F99" s="64"/>
      <c r="G99" s="64"/>
      <c r="H99" s="64"/>
      <c r="I99" s="64"/>
    </row>
    <row r="100" spans="2:9" ht="14.25">
      <c r="B100" s="63" t="s">
        <v>185</v>
      </c>
      <c r="C100" s="54"/>
      <c r="D100" s="54"/>
      <c r="E100" s="64"/>
      <c r="F100" s="64"/>
      <c r="G100" s="64"/>
      <c r="H100" s="64"/>
      <c r="I100" s="64"/>
    </row>
    <row r="101" spans="3:9" ht="14.25">
      <c r="C101" s="65" t="s">
        <v>183</v>
      </c>
      <c r="D101" s="21"/>
      <c r="E101" s="66">
        <f>+E42</f>
        <v>0</v>
      </c>
      <c r="F101" s="66">
        <f>+F42</f>
        <v>7</v>
      </c>
      <c r="G101" s="66">
        <f>+G42</f>
        <v>13</v>
      </c>
      <c r="H101" s="66">
        <f>+H42</f>
        <v>20</v>
      </c>
      <c r="I101" s="66">
        <f>+I42</f>
        <v>41</v>
      </c>
    </row>
    <row r="102" spans="3:9" ht="14.25">
      <c r="C102" s="65" t="s">
        <v>64</v>
      </c>
      <c r="D102" s="21"/>
      <c r="E102" s="66"/>
      <c r="F102" s="66"/>
      <c r="G102" s="66"/>
      <c r="H102" s="66"/>
      <c r="I102" s="66"/>
    </row>
    <row r="103" spans="3:15" ht="14.25">
      <c r="C103" s="65" t="s">
        <v>65</v>
      </c>
      <c r="D103" s="21"/>
      <c r="E103" s="85">
        <v>1</v>
      </c>
      <c r="F103" s="85">
        <v>1</v>
      </c>
      <c r="G103" s="85">
        <v>1</v>
      </c>
      <c r="H103" s="85">
        <v>1</v>
      </c>
      <c r="I103" s="85">
        <v>1</v>
      </c>
      <c r="K103" s="66">
        <f>ROUND(+E103*E101,0)</f>
        <v>0</v>
      </c>
      <c r="L103" s="66">
        <f>ROUND(+F103*F101,0)</f>
        <v>7</v>
      </c>
      <c r="M103" s="66">
        <f>ROUND(+G103*G101,0)</f>
        <v>13</v>
      </c>
      <c r="N103" s="66">
        <f>ROUND(+H103*H101,0)</f>
        <v>20</v>
      </c>
      <c r="O103" s="66">
        <f>ROUND(+I103*I101,0)</f>
        <v>41</v>
      </c>
    </row>
    <row r="104" spans="3:15" ht="14.25">
      <c r="C104" s="65" t="s">
        <v>66</v>
      </c>
      <c r="D104" s="21"/>
      <c r="E104" s="47">
        <f>1-E103</f>
        <v>0</v>
      </c>
      <c r="F104" s="47">
        <f>1-F103</f>
        <v>0</v>
      </c>
      <c r="G104" s="47">
        <f>1-G103</f>
        <v>0</v>
      </c>
      <c r="H104" s="47">
        <f>1-H103</f>
        <v>0</v>
      </c>
      <c r="I104" s="47">
        <f>1-I103</f>
        <v>0</v>
      </c>
      <c r="J104" s="70"/>
      <c r="K104" s="66">
        <f>ROUND(+E104*E101,0)</f>
        <v>0</v>
      </c>
      <c r="L104" s="66">
        <f>ROUND(+F104*F101,0)</f>
        <v>0</v>
      </c>
      <c r="M104" s="66">
        <f>ROUND(+G104*G101,0)</f>
        <v>0</v>
      </c>
      <c r="N104" s="66">
        <f>ROUND(+H104*H101,0)</f>
        <v>0</v>
      </c>
      <c r="O104" s="66">
        <f>ROUND(+I104*I101,0)</f>
        <v>0</v>
      </c>
    </row>
    <row r="105" spans="3:10" ht="14.25">
      <c r="C105" s="65" t="s">
        <v>67</v>
      </c>
      <c r="D105" s="21"/>
      <c r="E105" s="47"/>
      <c r="F105" s="47"/>
      <c r="G105" s="47"/>
      <c r="H105" s="47"/>
      <c r="I105" s="47"/>
      <c r="J105" s="70"/>
    </row>
    <row r="106" spans="3:15" ht="14.25">
      <c r="C106" s="65" t="s">
        <v>68</v>
      </c>
      <c r="D106" s="21"/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70"/>
      <c r="K106" s="66">
        <f>ROUND(+E106*E101,0)</f>
        <v>0</v>
      </c>
      <c r="L106" s="66">
        <f>ROUND(+F106*F101,0)</f>
        <v>0</v>
      </c>
      <c r="M106" s="66">
        <f>ROUND(+G106*G101,0)</f>
        <v>0</v>
      </c>
      <c r="N106" s="66">
        <f>ROUND(+H106*H101,0)</f>
        <v>0</v>
      </c>
      <c r="O106" s="66">
        <f>ROUND(+I106*I101,0)</f>
        <v>0</v>
      </c>
    </row>
    <row r="107" spans="3:15" ht="14.25">
      <c r="C107" s="65" t="s">
        <v>69</v>
      </c>
      <c r="D107" s="21"/>
      <c r="E107" s="47">
        <v>0.25</v>
      </c>
      <c r="F107" s="47">
        <v>0.25</v>
      </c>
      <c r="G107" s="47">
        <v>0.2</v>
      </c>
      <c r="H107" s="47">
        <v>0.2</v>
      </c>
      <c r="I107" s="47">
        <v>0.15</v>
      </c>
      <c r="J107" s="70"/>
      <c r="K107" s="66">
        <f>ROUND(+E107*E101,0)</f>
        <v>0</v>
      </c>
      <c r="L107" s="66">
        <f>ROUND(+F107*F101,0)</f>
        <v>2</v>
      </c>
      <c r="M107" s="66">
        <f>ROUND(+G107*G101,0)</f>
        <v>3</v>
      </c>
      <c r="N107" s="66">
        <f>ROUND(+H107*H101,0)</f>
        <v>4</v>
      </c>
      <c r="O107" s="66">
        <f>ROUND(+I107*I101,0)</f>
        <v>6</v>
      </c>
    </row>
    <row r="108" spans="3:15" ht="14.25">
      <c r="C108" s="65" t="s">
        <v>70</v>
      </c>
      <c r="D108" s="21"/>
      <c r="E108" s="47">
        <v>0.3</v>
      </c>
      <c r="F108" s="47">
        <v>0.3</v>
      </c>
      <c r="G108" s="47">
        <v>0.45</v>
      </c>
      <c r="H108" s="47">
        <v>0.5</v>
      </c>
      <c r="I108" s="47">
        <v>0.55</v>
      </c>
      <c r="J108" s="70"/>
      <c r="K108" s="66">
        <f>ROUND(+E108*E101,0)</f>
        <v>0</v>
      </c>
      <c r="L108" s="66">
        <f>ROUND(+F108*F101,0)</f>
        <v>2</v>
      </c>
      <c r="M108" s="66">
        <f>ROUND(+G108*G101,0)</f>
        <v>6</v>
      </c>
      <c r="N108" s="66">
        <f>ROUND(+H108*H101,0)</f>
        <v>10</v>
      </c>
      <c r="O108" s="66">
        <f>ROUND(+I108*I101,0)</f>
        <v>23</v>
      </c>
    </row>
    <row r="109" spans="3:15" ht="14.25">
      <c r="C109" s="65" t="s">
        <v>71</v>
      </c>
      <c r="D109" s="21"/>
      <c r="E109" s="47">
        <f>1-E106-E107-E108-E110</f>
        <v>0.45</v>
      </c>
      <c r="F109" s="47">
        <f>1-F106-F107-F108-F110</f>
        <v>0.45</v>
      </c>
      <c r="G109" s="47">
        <f>1-G106-G107-G108-G110</f>
        <v>0.35000000000000003</v>
      </c>
      <c r="H109" s="47">
        <f>1-H106-H107-H108-H110</f>
        <v>0.30000000000000004</v>
      </c>
      <c r="I109" s="47">
        <f>1-I106-I107-I108-I110</f>
        <v>0.29999999999999993</v>
      </c>
      <c r="J109" s="70"/>
      <c r="K109" s="66">
        <f>ROUND(+E109*E101,0)</f>
        <v>0</v>
      </c>
      <c r="L109" s="66">
        <f>ROUND(+F109*F101,0)</f>
        <v>3</v>
      </c>
      <c r="M109" s="66">
        <f>ROUND(+G109*G101,0)</f>
        <v>5</v>
      </c>
      <c r="N109" s="66">
        <f>ROUND(+H109*H101,0)</f>
        <v>6</v>
      </c>
      <c r="O109" s="66">
        <f>ROUND(+I109*I101,0)</f>
        <v>12</v>
      </c>
    </row>
    <row r="110" spans="3:15" ht="14.25">
      <c r="C110" s="68" t="s">
        <v>72</v>
      </c>
      <c r="D110" s="21"/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71"/>
      <c r="K110" s="66">
        <f>ROUND(+E110*E101,0)</f>
        <v>0</v>
      </c>
      <c r="L110" s="66">
        <f>ROUND(+F110*F101,0)</f>
        <v>0</v>
      </c>
      <c r="M110" s="66">
        <f>ROUND(+G110*G101,0)</f>
        <v>0</v>
      </c>
      <c r="N110" s="66">
        <f>ROUND(+H110*H101,0)</f>
        <v>0</v>
      </c>
      <c r="O110" s="66">
        <f>ROUND(+I110*I101,0)</f>
        <v>0</v>
      </c>
    </row>
    <row r="111" spans="3:9" ht="14.25">
      <c r="C111" s="74"/>
      <c r="D111" s="21"/>
      <c r="E111" s="64"/>
      <c r="F111" s="64"/>
      <c r="G111" s="64"/>
      <c r="H111" s="64"/>
      <c r="I111" s="64"/>
    </row>
    <row r="112" spans="2:9" ht="14.25" hidden="1">
      <c r="B112" s="63" t="s">
        <v>186</v>
      </c>
      <c r="C112" s="54"/>
      <c r="D112" s="54"/>
      <c r="E112" s="64"/>
      <c r="F112" s="64"/>
      <c r="G112" s="64"/>
      <c r="H112" s="64"/>
      <c r="I112" s="64"/>
    </row>
    <row r="113" spans="3:9" ht="14.25" hidden="1">
      <c r="C113" s="65" t="s">
        <v>183</v>
      </c>
      <c r="D113" s="21"/>
      <c r="E113" s="66">
        <f>+E50</f>
        <v>0</v>
      </c>
      <c r="F113" s="66">
        <f>+F50</f>
        <v>0</v>
      </c>
      <c r="G113" s="66">
        <f>+G50</f>
        <v>0</v>
      </c>
      <c r="H113" s="66">
        <f>+H50</f>
        <v>0</v>
      </c>
      <c r="I113" s="66">
        <f>+I50</f>
        <v>0</v>
      </c>
    </row>
    <row r="114" spans="3:9" ht="14.25" hidden="1">
      <c r="C114" s="65" t="s">
        <v>64</v>
      </c>
      <c r="D114" s="21"/>
      <c r="E114" s="66"/>
      <c r="F114" s="66"/>
      <c r="G114" s="66"/>
      <c r="H114" s="66"/>
      <c r="I114" s="66"/>
    </row>
    <row r="115" spans="3:15" ht="14.25" hidden="1">
      <c r="C115" s="65" t="s">
        <v>65</v>
      </c>
      <c r="D115" s="21"/>
      <c r="E115" s="85">
        <v>0.75</v>
      </c>
      <c r="F115" s="85">
        <v>0.75</v>
      </c>
      <c r="G115" s="85">
        <v>0.75</v>
      </c>
      <c r="H115" s="85">
        <v>0.75</v>
      </c>
      <c r="I115" s="85">
        <v>0.75</v>
      </c>
      <c r="K115" s="66">
        <f>ROUND(+E115*E113,0)</f>
        <v>0</v>
      </c>
      <c r="L115" s="66">
        <f>ROUND(+F115*F113,0)</f>
        <v>0</v>
      </c>
      <c r="M115" s="66">
        <f>ROUND(+G115*G113,0)</f>
        <v>0</v>
      </c>
      <c r="N115" s="66">
        <f>ROUND(+H115*H113,0)</f>
        <v>0</v>
      </c>
      <c r="O115" s="66">
        <f>ROUND(+I115*I113,0)</f>
        <v>0</v>
      </c>
    </row>
    <row r="116" spans="3:15" ht="14.25" hidden="1">
      <c r="C116" s="65" t="s">
        <v>66</v>
      </c>
      <c r="D116" s="21"/>
      <c r="E116" s="47">
        <f>1-E115</f>
        <v>0.25</v>
      </c>
      <c r="F116" s="47">
        <f>1-F115</f>
        <v>0.25</v>
      </c>
      <c r="G116" s="47">
        <f>1-G115</f>
        <v>0.25</v>
      </c>
      <c r="H116" s="47">
        <f>1-H115</f>
        <v>0.25</v>
      </c>
      <c r="I116" s="47">
        <f>1-I115</f>
        <v>0.25</v>
      </c>
      <c r="J116" s="70"/>
      <c r="K116" s="66">
        <f>ROUND(+E116*E113,0)</f>
        <v>0</v>
      </c>
      <c r="L116" s="66">
        <f>ROUND(+F116*F113,0)</f>
        <v>0</v>
      </c>
      <c r="M116" s="66">
        <f>ROUND(+G116*G113,0)</f>
        <v>0</v>
      </c>
      <c r="N116" s="66">
        <f>ROUND(+H116*H113,0)</f>
        <v>0</v>
      </c>
      <c r="O116" s="66">
        <f>ROUND(+I116*I113,0)</f>
        <v>0</v>
      </c>
    </row>
    <row r="117" spans="3:10" ht="14.25" hidden="1">
      <c r="C117" s="65" t="s">
        <v>67</v>
      </c>
      <c r="D117" s="21"/>
      <c r="E117" s="47"/>
      <c r="F117" s="47"/>
      <c r="G117" s="47"/>
      <c r="H117" s="47"/>
      <c r="I117" s="47"/>
      <c r="J117" s="70"/>
    </row>
    <row r="118" spans="3:15" ht="14.25" hidden="1">
      <c r="C118" s="65" t="s">
        <v>68</v>
      </c>
      <c r="D118" s="21"/>
      <c r="E118" s="47">
        <v>1</v>
      </c>
      <c r="F118" s="47">
        <v>1</v>
      </c>
      <c r="G118" s="47">
        <v>1</v>
      </c>
      <c r="H118" s="47">
        <v>1</v>
      </c>
      <c r="I118" s="47">
        <v>1</v>
      </c>
      <c r="J118" s="70"/>
      <c r="K118" s="66">
        <f>ROUND(+E118*E113,0)</f>
        <v>0</v>
      </c>
      <c r="L118" s="66">
        <f>ROUND(+F118*F113,0)</f>
        <v>0</v>
      </c>
      <c r="M118" s="66">
        <f>ROUND(+G118*G113,0)</f>
        <v>0</v>
      </c>
      <c r="N118" s="66">
        <f>ROUND(+H118*H113,0)</f>
        <v>0</v>
      </c>
      <c r="O118" s="66">
        <f>ROUND(+I118*I113,0)</f>
        <v>0</v>
      </c>
    </row>
    <row r="119" spans="3:15" ht="14.25" hidden="1">
      <c r="C119" s="65" t="s">
        <v>69</v>
      </c>
      <c r="D119" s="21"/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70"/>
      <c r="K119" s="66">
        <f>ROUND(+E119*E113,0)</f>
        <v>0</v>
      </c>
      <c r="L119" s="66">
        <f>ROUND(+F119*F113,0)</f>
        <v>0</v>
      </c>
      <c r="M119" s="66">
        <f>ROUND(+G119*G113,0)</f>
        <v>0</v>
      </c>
      <c r="N119" s="66">
        <f>ROUND(+H119*H113,0)</f>
        <v>0</v>
      </c>
      <c r="O119" s="66">
        <f>ROUND(+I119*I113,0)</f>
        <v>0</v>
      </c>
    </row>
    <row r="120" spans="3:15" ht="14.25" hidden="1">
      <c r="C120" s="65" t="s">
        <v>70</v>
      </c>
      <c r="D120" s="21"/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70"/>
      <c r="K120" s="66">
        <f>ROUND(+E120*E113,0)</f>
        <v>0</v>
      </c>
      <c r="L120" s="66">
        <f>ROUND(+F120*F113,0)</f>
        <v>0</v>
      </c>
      <c r="M120" s="66">
        <f>ROUND(+G120*G113,0)</f>
        <v>0</v>
      </c>
      <c r="N120" s="66">
        <f>ROUND(+H120*H113,0)</f>
        <v>0</v>
      </c>
      <c r="O120" s="66">
        <f>ROUND(+I120*I113,0)</f>
        <v>0</v>
      </c>
    </row>
    <row r="121" spans="3:15" ht="14.25" hidden="1">
      <c r="C121" s="65" t="s">
        <v>71</v>
      </c>
      <c r="D121" s="21"/>
      <c r="E121" s="47">
        <f>1-E118-E119-E120-E122</f>
        <v>0</v>
      </c>
      <c r="F121" s="47">
        <f>1-F118-F119-F120-F122</f>
        <v>0</v>
      </c>
      <c r="G121" s="47">
        <f>1-G118-G119-G120-G122</f>
        <v>0</v>
      </c>
      <c r="H121" s="47">
        <f>1-H118-H119-H120-H122</f>
        <v>0</v>
      </c>
      <c r="I121" s="47">
        <f>1-I118-I119-I120-I122</f>
        <v>0</v>
      </c>
      <c r="J121" s="70"/>
      <c r="K121" s="66">
        <f>ROUND(+E121*E113,0)</f>
        <v>0</v>
      </c>
      <c r="L121" s="66">
        <f>ROUND(+F121*F113,0)</f>
        <v>0</v>
      </c>
      <c r="M121" s="66">
        <f>ROUND(+G121*G113,0)</f>
        <v>0</v>
      </c>
      <c r="N121" s="66">
        <f>ROUND(+H121*H113,0)</f>
        <v>0</v>
      </c>
      <c r="O121" s="66">
        <f>ROUND(+I121*I113,0)</f>
        <v>0</v>
      </c>
    </row>
    <row r="122" spans="3:15" ht="14.25" hidden="1">
      <c r="C122" s="68" t="s">
        <v>72</v>
      </c>
      <c r="D122" s="21"/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71"/>
      <c r="K122" s="66">
        <f>ROUND(+E122*E113,0)</f>
        <v>0</v>
      </c>
      <c r="L122" s="66">
        <f>ROUND(+F122*F113,0)</f>
        <v>0</v>
      </c>
      <c r="M122" s="66">
        <f>ROUND(+G122*G113,0)</f>
        <v>0</v>
      </c>
      <c r="N122" s="66">
        <f>ROUND(+H122*H113,0)</f>
        <v>0</v>
      </c>
      <c r="O122" s="66">
        <f>ROUND(+I122*I113,0)</f>
        <v>0</v>
      </c>
    </row>
    <row r="123" spans="3:9" ht="14.25" hidden="1">
      <c r="C123" s="74"/>
      <c r="D123" s="21"/>
      <c r="E123" s="64"/>
      <c r="F123" s="64"/>
      <c r="G123" s="64"/>
      <c r="H123" s="64"/>
      <c r="I123" s="64"/>
    </row>
    <row r="124" spans="2:9" ht="14.25">
      <c r="B124" s="63" t="s">
        <v>187</v>
      </c>
      <c r="C124" s="54"/>
      <c r="D124" s="54"/>
      <c r="E124" s="64"/>
      <c r="F124" s="64"/>
      <c r="G124" s="64"/>
      <c r="H124" s="64"/>
      <c r="I124" s="64"/>
    </row>
    <row r="125" spans="3:9" ht="14.25">
      <c r="C125" s="65" t="s">
        <v>183</v>
      </c>
      <c r="D125" s="21"/>
      <c r="E125" s="66">
        <f>+E58</f>
        <v>0</v>
      </c>
      <c r="F125" s="66">
        <f>+F58</f>
        <v>29</v>
      </c>
      <c r="G125" s="66">
        <f>+G58</f>
        <v>63</v>
      </c>
      <c r="H125" s="66">
        <f>+H58</f>
        <v>102</v>
      </c>
      <c r="I125" s="66">
        <f>+I58</f>
        <v>215</v>
      </c>
    </row>
    <row r="126" spans="3:9" ht="14.25">
      <c r="C126" s="65" t="s">
        <v>64</v>
      </c>
      <c r="D126" s="21"/>
      <c r="E126" s="66"/>
      <c r="F126" s="66"/>
      <c r="G126" s="66"/>
      <c r="H126" s="66"/>
      <c r="I126" s="66"/>
    </row>
    <row r="127" spans="3:15" ht="14.25">
      <c r="C127" s="65" t="s">
        <v>65</v>
      </c>
      <c r="D127" s="21"/>
      <c r="E127" s="85">
        <v>1</v>
      </c>
      <c r="F127" s="85">
        <v>1</v>
      </c>
      <c r="G127" s="85">
        <v>1</v>
      </c>
      <c r="H127" s="85">
        <v>1</v>
      </c>
      <c r="I127" s="85">
        <v>1</v>
      </c>
      <c r="K127" s="66">
        <f>ROUND(+E127*E125,0)</f>
        <v>0</v>
      </c>
      <c r="L127" s="66">
        <f>ROUND(+F127*F125,0)</f>
        <v>29</v>
      </c>
      <c r="M127" s="66">
        <f>ROUND(+G127*G125,0)</f>
        <v>63</v>
      </c>
      <c r="N127" s="66">
        <f>ROUND(+H127*H125,0)</f>
        <v>102</v>
      </c>
      <c r="O127" s="66">
        <f>ROUND(+I127*I125,0)</f>
        <v>215</v>
      </c>
    </row>
    <row r="128" spans="3:15" ht="14.25">
      <c r="C128" s="65" t="s">
        <v>66</v>
      </c>
      <c r="D128" s="21"/>
      <c r="E128" s="47">
        <f>1-E127</f>
        <v>0</v>
      </c>
      <c r="F128" s="47">
        <f>1-F127</f>
        <v>0</v>
      </c>
      <c r="G128" s="47">
        <f>1-G127</f>
        <v>0</v>
      </c>
      <c r="H128" s="47">
        <f>1-H127</f>
        <v>0</v>
      </c>
      <c r="I128" s="47">
        <f>1-I127</f>
        <v>0</v>
      </c>
      <c r="J128" s="70"/>
      <c r="K128" s="66">
        <f>ROUND(+E128*E125,0)</f>
        <v>0</v>
      </c>
      <c r="L128" s="66">
        <f>ROUND(+F128*F125,0)</f>
        <v>0</v>
      </c>
      <c r="M128" s="66">
        <f>ROUND(+G128*G125,0)</f>
        <v>0</v>
      </c>
      <c r="N128" s="66">
        <f>ROUND(+H128*H125,0)</f>
        <v>0</v>
      </c>
      <c r="O128" s="66">
        <f>ROUND(+I128*I125,0)</f>
        <v>0</v>
      </c>
    </row>
    <row r="129" spans="3:10" ht="14.25">
      <c r="C129" s="65" t="s">
        <v>67</v>
      </c>
      <c r="D129" s="21"/>
      <c r="E129" s="47"/>
      <c r="F129" s="47"/>
      <c r="G129" s="47"/>
      <c r="H129" s="47"/>
      <c r="I129" s="47"/>
      <c r="J129" s="70"/>
    </row>
    <row r="130" spans="3:15" ht="14.25">
      <c r="C130" s="65" t="s">
        <v>68</v>
      </c>
      <c r="D130" s="21"/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70"/>
      <c r="K130" s="66">
        <f>ROUND(+E130*E125,0)</f>
        <v>0</v>
      </c>
      <c r="L130" s="66">
        <f>ROUND(+F130*F125,0)</f>
        <v>0</v>
      </c>
      <c r="M130" s="66">
        <f>ROUND(+G130*G125,0)</f>
        <v>0</v>
      </c>
      <c r="N130" s="66">
        <f>ROUND(+H130*H125,0)</f>
        <v>0</v>
      </c>
      <c r="O130" s="66">
        <f>ROUND(+I130*I125,0)</f>
        <v>0</v>
      </c>
    </row>
    <row r="131" spans="3:15" ht="14.25">
      <c r="C131" s="65" t="s">
        <v>69</v>
      </c>
      <c r="D131" s="21"/>
      <c r="E131" s="47">
        <v>0.5</v>
      </c>
      <c r="F131" s="47">
        <v>0.5</v>
      </c>
      <c r="G131" s="47">
        <v>0.5</v>
      </c>
      <c r="H131" s="47">
        <v>0.5</v>
      </c>
      <c r="I131" s="47">
        <v>0.5</v>
      </c>
      <c r="J131" s="70"/>
      <c r="K131" s="66">
        <f>ROUND(+E131*E125,0)</f>
        <v>0</v>
      </c>
      <c r="L131" s="66">
        <f>ROUND(+F131*F125,0)</f>
        <v>15</v>
      </c>
      <c r="M131" s="66">
        <f>ROUND(+G131*G125,0)</f>
        <v>32</v>
      </c>
      <c r="N131" s="66">
        <f>ROUND(+H131*H125,0)</f>
        <v>51</v>
      </c>
      <c r="O131" s="66">
        <f>ROUND(+I131*I125,0)</f>
        <v>108</v>
      </c>
    </row>
    <row r="132" spans="3:15" ht="14.25">
      <c r="C132" s="65" t="s">
        <v>70</v>
      </c>
      <c r="D132" s="21"/>
      <c r="E132" s="47">
        <v>0.5</v>
      </c>
      <c r="F132" s="47">
        <v>0.5</v>
      </c>
      <c r="G132" s="47">
        <v>0.5</v>
      </c>
      <c r="H132" s="47">
        <v>0.5</v>
      </c>
      <c r="I132" s="47">
        <v>0.5</v>
      </c>
      <c r="J132" s="70"/>
      <c r="K132" s="66">
        <f>ROUND(+E132*E125,0)</f>
        <v>0</v>
      </c>
      <c r="L132" s="66">
        <f>ROUND(+F132*F125,0)</f>
        <v>15</v>
      </c>
      <c r="M132" s="66">
        <f>ROUND(+G132*G125,0)</f>
        <v>32</v>
      </c>
      <c r="N132" s="66">
        <f>ROUND(+H132*H125,0)</f>
        <v>51</v>
      </c>
      <c r="O132" s="66">
        <f>ROUND(+I132*I125,0)</f>
        <v>108</v>
      </c>
    </row>
    <row r="133" spans="3:15" ht="14.25">
      <c r="C133" s="65" t="s">
        <v>71</v>
      </c>
      <c r="D133" s="21"/>
      <c r="E133" s="47">
        <f>1-E130-E131-E132-E134</f>
        <v>0</v>
      </c>
      <c r="F133" s="47">
        <f>1-F130-F131-F132-F134</f>
        <v>0</v>
      </c>
      <c r="G133" s="47">
        <f>1-G130-G131-G132-G134</f>
        <v>0</v>
      </c>
      <c r="H133" s="47">
        <f>1-H130-H131-H132-H134</f>
        <v>0</v>
      </c>
      <c r="I133" s="47">
        <f>1-I130-I131-I132-I134</f>
        <v>0</v>
      </c>
      <c r="J133" s="70"/>
      <c r="K133" s="66">
        <f>ROUND(+E133*E125,0)</f>
        <v>0</v>
      </c>
      <c r="L133" s="66">
        <f>ROUND(+F133*F125,0)</f>
        <v>0</v>
      </c>
      <c r="M133" s="66">
        <f>ROUND(+G133*G125,0)</f>
        <v>0</v>
      </c>
      <c r="N133" s="66">
        <f>ROUND(+H133*H125,0)</f>
        <v>0</v>
      </c>
      <c r="O133" s="66">
        <f>ROUND(+I133*I125,0)</f>
        <v>0</v>
      </c>
    </row>
    <row r="134" spans="3:15" ht="14.25">
      <c r="C134" s="68" t="s">
        <v>72</v>
      </c>
      <c r="D134" s="21"/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71"/>
      <c r="K134" s="66">
        <f>ROUND(+E134*E125,0)</f>
        <v>0</v>
      </c>
      <c r="L134" s="66">
        <f>ROUND(+F134*F125,0)</f>
        <v>0</v>
      </c>
      <c r="M134" s="66">
        <f>ROUND(+G134*G125,0)</f>
        <v>0</v>
      </c>
      <c r="N134" s="66">
        <f>ROUND(+H134*H125,0)</f>
        <v>0</v>
      </c>
      <c r="O134" s="66">
        <f>ROUND(+I134*I125,0)</f>
        <v>0</v>
      </c>
    </row>
    <row r="135" spans="3:9" ht="14.25">
      <c r="C135" s="74"/>
      <c r="D135" s="21"/>
      <c r="E135" s="64"/>
      <c r="F135" s="64"/>
      <c r="G135" s="64"/>
      <c r="H135" s="64"/>
      <c r="I135" s="64"/>
    </row>
    <row r="136" spans="2:9" ht="14.25">
      <c r="B136" s="63" t="s">
        <v>188</v>
      </c>
      <c r="C136" s="54"/>
      <c r="D136" s="54"/>
      <c r="E136" s="64"/>
      <c r="F136" s="64"/>
      <c r="G136" s="64"/>
      <c r="H136" s="64"/>
      <c r="I136" s="64"/>
    </row>
    <row r="137" spans="3:9" ht="14.25">
      <c r="C137" s="65" t="s">
        <v>183</v>
      </c>
      <c r="D137" s="21"/>
      <c r="E137" s="66" t="e">
        <f>+E68</f>
        <v>#REF!</v>
      </c>
      <c r="F137" s="66" t="e">
        <f>+F66</f>
        <v>#REF!</v>
      </c>
      <c r="G137" s="66" t="e">
        <f>+G66</f>
        <v>#REF!</v>
      </c>
      <c r="H137" s="66" t="e">
        <f>+H66</f>
        <v>#REF!</v>
      </c>
      <c r="I137" s="66" t="e">
        <f>+I66</f>
        <v>#REF!</v>
      </c>
    </row>
    <row r="138" spans="3:9" ht="14.25">
      <c r="C138" s="65" t="s">
        <v>64</v>
      </c>
      <c r="D138" s="21"/>
      <c r="E138" s="66"/>
      <c r="F138" s="66"/>
      <c r="G138" s="66"/>
      <c r="H138" s="66"/>
      <c r="I138" s="66"/>
    </row>
    <row r="139" spans="3:15" ht="14.25">
      <c r="C139" s="65" t="s">
        <v>65</v>
      </c>
      <c r="D139" s="21"/>
      <c r="E139" s="85">
        <v>0.75</v>
      </c>
      <c r="F139" s="85">
        <v>0.75</v>
      </c>
      <c r="G139" s="85">
        <v>0.75</v>
      </c>
      <c r="H139" s="85">
        <v>0.75</v>
      </c>
      <c r="I139" s="85">
        <v>0.75</v>
      </c>
      <c r="K139" s="66" t="e">
        <f>ROUND(+E139*E137,0)</f>
        <v>#REF!</v>
      </c>
      <c r="L139" s="66" t="e">
        <f>ROUND(+F139*F137,0)</f>
        <v>#REF!</v>
      </c>
      <c r="M139" s="66" t="e">
        <f>ROUND(+G139*G137,0)</f>
        <v>#REF!</v>
      </c>
      <c r="N139" s="66" t="e">
        <f>ROUND(+H139*H137,0)</f>
        <v>#REF!</v>
      </c>
      <c r="O139" s="66" t="e">
        <f>ROUND(+I139*I137,0)</f>
        <v>#REF!</v>
      </c>
    </row>
    <row r="140" spans="3:15" ht="14.25">
      <c r="C140" s="65" t="s">
        <v>66</v>
      </c>
      <c r="D140" s="21"/>
      <c r="E140" s="47">
        <f>1-E139</f>
        <v>0.25</v>
      </c>
      <c r="F140" s="47">
        <f>1-F139</f>
        <v>0.25</v>
      </c>
      <c r="G140" s="47">
        <f>1-G139</f>
        <v>0.25</v>
      </c>
      <c r="H140" s="47">
        <f>1-H139</f>
        <v>0.25</v>
      </c>
      <c r="I140" s="47">
        <f>1-I139</f>
        <v>0.25</v>
      </c>
      <c r="J140" s="70"/>
      <c r="K140" s="66" t="e">
        <f>ROUND(+E140*E137,0)</f>
        <v>#REF!</v>
      </c>
      <c r="L140" s="66" t="e">
        <f>ROUND(+F140*F137,0)</f>
        <v>#REF!</v>
      </c>
      <c r="M140" s="66" t="e">
        <f>ROUND(+G140*G137,0)</f>
        <v>#REF!</v>
      </c>
      <c r="N140" s="66" t="e">
        <f>ROUND(+H140*H137,0)</f>
        <v>#REF!</v>
      </c>
      <c r="O140" s="66" t="e">
        <f>ROUND(+I140*I137,0)</f>
        <v>#REF!</v>
      </c>
    </row>
    <row r="141" spans="3:10" ht="14.25">
      <c r="C141" s="65" t="s">
        <v>67</v>
      </c>
      <c r="D141" s="21"/>
      <c r="E141" s="47"/>
      <c r="F141" s="47"/>
      <c r="G141" s="47"/>
      <c r="H141" s="47"/>
      <c r="I141" s="47"/>
      <c r="J141" s="70"/>
    </row>
    <row r="142" spans="3:15" ht="14.25">
      <c r="C142" s="65" t="s">
        <v>68</v>
      </c>
      <c r="D142" s="21"/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70"/>
      <c r="K142" s="66" t="e">
        <f>ROUND(+E142*E137,0)</f>
        <v>#REF!</v>
      </c>
      <c r="L142" s="66" t="e">
        <f>ROUND(+F142*F137,0)</f>
        <v>#REF!</v>
      </c>
      <c r="M142" s="66" t="e">
        <f>ROUND(+G142*G137,0)</f>
        <v>#REF!</v>
      </c>
      <c r="N142" s="66" t="e">
        <f>ROUND(+H142*H137,0)</f>
        <v>#REF!</v>
      </c>
      <c r="O142" s="66" t="e">
        <f>ROUND(+I142*I137,0)</f>
        <v>#REF!</v>
      </c>
    </row>
    <row r="143" spans="3:15" ht="14.25">
      <c r="C143" s="65" t="s">
        <v>69</v>
      </c>
      <c r="D143" s="21"/>
      <c r="E143" s="47">
        <v>0.35</v>
      </c>
      <c r="F143" s="47">
        <v>0.32</v>
      </c>
      <c r="G143" s="47">
        <v>0.3</v>
      </c>
      <c r="H143" s="47">
        <v>0.3</v>
      </c>
      <c r="I143" s="47">
        <v>0.3</v>
      </c>
      <c r="J143" s="70"/>
      <c r="K143" s="66" t="e">
        <f>ROUND(+E143*E137,0)</f>
        <v>#REF!</v>
      </c>
      <c r="L143" s="66" t="e">
        <f>ROUND(+F143*F137,0)</f>
        <v>#REF!</v>
      </c>
      <c r="M143" s="66" t="e">
        <f>ROUND(+G143*G137,0)</f>
        <v>#REF!</v>
      </c>
      <c r="N143" s="66" t="e">
        <f>ROUND(+H143*H137,0)</f>
        <v>#REF!</v>
      </c>
      <c r="O143" s="66" t="e">
        <f>ROUND(+I143*I137,0)</f>
        <v>#REF!</v>
      </c>
    </row>
    <row r="144" spans="3:15" ht="14.25">
      <c r="C144" s="65" t="s">
        <v>70</v>
      </c>
      <c r="D144" s="21"/>
      <c r="E144" s="47">
        <v>0.5</v>
      </c>
      <c r="F144" s="47">
        <v>0.5</v>
      </c>
      <c r="G144" s="47">
        <v>0.55</v>
      </c>
      <c r="H144" s="47">
        <v>0.55</v>
      </c>
      <c r="I144" s="47">
        <v>0.55</v>
      </c>
      <c r="J144" s="70"/>
      <c r="K144" s="66" t="e">
        <f>ROUND(+E144*E137,0)</f>
        <v>#REF!</v>
      </c>
      <c r="L144" s="66" t="e">
        <f>ROUND(+F144*F137,0)</f>
        <v>#REF!</v>
      </c>
      <c r="M144" s="66" t="e">
        <f>ROUND(+G144*G137,0)</f>
        <v>#REF!</v>
      </c>
      <c r="N144" s="66" t="e">
        <f>ROUND(+H144*H137,0)</f>
        <v>#REF!</v>
      </c>
      <c r="O144" s="66" t="e">
        <f>ROUND(+I144*I137,0)</f>
        <v>#REF!</v>
      </c>
    </row>
    <row r="145" spans="3:15" ht="14.25">
      <c r="C145" s="65" t="s">
        <v>71</v>
      </c>
      <c r="D145" s="21"/>
      <c r="E145" s="47">
        <f>1-E142-E143-E144-E146</f>
        <v>0.15000000000000002</v>
      </c>
      <c r="F145" s="47">
        <f>1-F142-F143-F144-F146</f>
        <v>0.14999999999999994</v>
      </c>
      <c r="G145" s="47">
        <f>1-G142-G143-G144-G146</f>
        <v>0.1449999999999999</v>
      </c>
      <c r="H145" s="47">
        <f>1-H142-H143-H144-H146</f>
        <v>0.1469999999999999</v>
      </c>
      <c r="I145" s="47">
        <f>1-I142-I143-I144-I146</f>
        <v>0.1479999999999999</v>
      </c>
      <c r="J145" s="70"/>
      <c r="K145" s="66" t="e">
        <f>ROUND(+E145*E137,0)</f>
        <v>#REF!</v>
      </c>
      <c r="L145" s="66" t="e">
        <f>ROUND(+F145*F137,0)</f>
        <v>#REF!</v>
      </c>
      <c r="M145" s="66" t="e">
        <f>ROUND(+G145*G137,0)</f>
        <v>#REF!</v>
      </c>
      <c r="N145" s="66" t="e">
        <f>ROUND(+H145*H137,0)</f>
        <v>#REF!</v>
      </c>
      <c r="O145" s="66" t="e">
        <f>ROUND(+I145*I137,0)</f>
        <v>#REF!</v>
      </c>
    </row>
    <row r="146" spans="3:15" ht="14.25">
      <c r="C146" s="68" t="s">
        <v>72</v>
      </c>
      <c r="D146" s="21"/>
      <c r="E146" s="47">
        <v>0</v>
      </c>
      <c r="F146" s="47">
        <v>0.03</v>
      </c>
      <c r="G146" s="86">
        <v>0.005</v>
      </c>
      <c r="H146" s="86">
        <v>0.003</v>
      </c>
      <c r="I146" s="86">
        <v>0.002</v>
      </c>
      <c r="J146" s="71"/>
      <c r="K146" s="66" t="e">
        <f>ROUND(+E146*E137,0)</f>
        <v>#REF!</v>
      </c>
      <c r="L146" s="66" t="e">
        <f>ROUND(+F146*F137,0)</f>
        <v>#REF!</v>
      </c>
      <c r="M146" s="66" t="e">
        <f>ROUND(+G146*G137,0)</f>
        <v>#REF!</v>
      </c>
      <c r="N146" s="66" t="e">
        <f>ROUND(+H146*H137,0)</f>
        <v>#REF!</v>
      </c>
      <c r="O146" s="66" t="e">
        <f>ROUND(+I146*I137,0)</f>
        <v>#REF!</v>
      </c>
    </row>
    <row r="148" spans="2:9" ht="14.25">
      <c r="B148" s="63" t="s">
        <v>47</v>
      </c>
      <c r="C148" s="54"/>
      <c r="D148" s="54"/>
      <c r="E148" s="64"/>
      <c r="F148" s="64"/>
      <c r="G148" s="64"/>
      <c r="H148" s="64"/>
      <c r="I148" s="64"/>
    </row>
    <row r="149" spans="3:9" ht="14.25">
      <c r="C149" s="65" t="s">
        <v>183</v>
      </c>
      <c r="D149" s="21"/>
      <c r="E149" s="66" t="e">
        <f>+E137+E125+E113+E101+E89+E77</f>
        <v>#REF!</v>
      </c>
      <c r="F149" s="66" t="e">
        <f>+F137+F125+F113+F101+F89+F77</f>
        <v>#REF!</v>
      </c>
      <c r="G149" s="66" t="e">
        <f>+G137+G125+G113+G101+G89+G77</f>
        <v>#REF!</v>
      </c>
      <c r="H149" s="66" t="e">
        <f>+H137+H125+H113+H101+H89+H77</f>
        <v>#REF!</v>
      </c>
      <c r="I149" s="66" t="e">
        <f>+I137+I125+I113+I101+I89+I77</f>
        <v>#REF!</v>
      </c>
    </row>
    <row r="150" spans="3:9" ht="14.25">
      <c r="C150" s="65" t="s">
        <v>64</v>
      </c>
      <c r="D150" s="21"/>
      <c r="E150" s="66"/>
      <c r="F150" s="66"/>
      <c r="G150" s="66"/>
      <c r="H150" s="66"/>
      <c r="I150" s="66"/>
    </row>
    <row r="151" spans="3:15" ht="14.25">
      <c r="C151" s="65" t="s">
        <v>65</v>
      </c>
      <c r="D151" s="21"/>
      <c r="E151" s="85">
        <v>0</v>
      </c>
      <c r="F151" s="85" t="e">
        <f>+L151/F149</f>
        <v>#REF!</v>
      </c>
      <c r="G151" s="85" t="e">
        <f>+M151/G149</f>
        <v>#REF!</v>
      </c>
      <c r="H151" s="85" t="e">
        <f>+N151/H149</f>
        <v>#REF!</v>
      </c>
      <c r="I151" s="85" t="e">
        <f>+O151/I149</f>
        <v>#REF!</v>
      </c>
      <c r="K151" s="66" t="e">
        <f aca="true" t="shared" si="0" ref="K151:O152">+K139+K127+K115+K103+K91+K79</f>
        <v>#REF!</v>
      </c>
      <c r="L151" s="66" t="e">
        <f t="shared" si="0"/>
        <v>#REF!</v>
      </c>
      <c r="M151" s="66" t="e">
        <f t="shared" si="0"/>
        <v>#REF!</v>
      </c>
      <c r="N151" s="66" t="e">
        <f t="shared" si="0"/>
        <v>#REF!</v>
      </c>
      <c r="O151" s="66" t="e">
        <f t="shared" si="0"/>
        <v>#REF!</v>
      </c>
    </row>
    <row r="152" spans="3:15" ht="14.25">
      <c r="C152" s="65" t="s">
        <v>66</v>
      </c>
      <c r="D152" s="21"/>
      <c r="E152" s="47">
        <v>0</v>
      </c>
      <c r="F152" s="47" t="e">
        <f>1-F151</f>
        <v>#REF!</v>
      </c>
      <c r="G152" s="47" t="e">
        <f>1-G151</f>
        <v>#REF!</v>
      </c>
      <c r="H152" s="47" t="e">
        <f>1-H151</f>
        <v>#REF!</v>
      </c>
      <c r="I152" s="47" t="e">
        <f>1-I151</f>
        <v>#REF!</v>
      </c>
      <c r="J152" s="70"/>
      <c r="K152" s="66" t="e">
        <f t="shared" si="0"/>
        <v>#REF!</v>
      </c>
      <c r="L152" s="66" t="e">
        <f t="shared" si="0"/>
        <v>#REF!</v>
      </c>
      <c r="M152" s="66" t="e">
        <f t="shared" si="0"/>
        <v>#REF!</v>
      </c>
      <c r="N152" s="66" t="e">
        <f t="shared" si="0"/>
        <v>#REF!</v>
      </c>
      <c r="O152" s="66" t="e">
        <f t="shared" si="0"/>
        <v>#REF!</v>
      </c>
    </row>
    <row r="153" spans="3:15" ht="14.25">
      <c r="C153" s="65" t="s">
        <v>74</v>
      </c>
      <c r="D153" s="21"/>
      <c r="E153" s="47"/>
      <c r="F153" s="47"/>
      <c r="G153" s="47"/>
      <c r="H153" s="47"/>
      <c r="I153" s="47"/>
      <c r="J153" s="70"/>
      <c r="K153" s="66"/>
      <c r="L153" s="66" t="e">
        <f>+L151+L152</f>
        <v>#REF!</v>
      </c>
      <c r="M153" s="66" t="e">
        <f>+M151+M152</f>
        <v>#REF!</v>
      </c>
      <c r="N153" s="66" t="e">
        <f>+N151+N152</f>
        <v>#REF!</v>
      </c>
      <c r="O153" s="66" t="e">
        <f>+O151+O152</f>
        <v>#REF!</v>
      </c>
    </row>
    <row r="154" spans="3:10" ht="14.25">
      <c r="C154" s="65" t="s">
        <v>67</v>
      </c>
      <c r="D154" s="21"/>
      <c r="E154" s="47"/>
      <c r="F154" s="47"/>
      <c r="G154" s="47"/>
      <c r="H154" s="47"/>
      <c r="I154" s="47"/>
      <c r="J154" s="70"/>
    </row>
    <row r="155" spans="3:16" ht="14.25">
      <c r="C155" s="65" t="s">
        <v>68</v>
      </c>
      <c r="D155" s="21"/>
      <c r="E155" s="47">
        <v>0</v>
      </c>
      <c r="F155" s="47" t="e">
        <f>+L155/F149</f>
        <v>#REF!</v>
      </c>
      <c r="G155" s="47" t="e">
        <f>+M155/G149</f>
        <v>#REF!</v>
      </c>
      <c r="H155" s="47" t="e">
        <f>+N155/H149</f>
        <v>#REF!</v>
      </c>
      <c r="I155" s="47" t="e">
        <f>+O155/I149</f>
        <v>#REF!</v>
      </c>
      <c r="J155" s="70"/>
      <c r="K155" s="66" t="e">
        <f aca="true" t="shared" si="1" ref="K155:O159">+K142+K130+K118+K106+K94+K82</f>
        <v>#REF!</v>
      </c>
      <c r="L155" s="66" t="e">
        <f t="shared" si="1"/>
        <v>#REF!</v>
      </c>
      <c r="M155" s="66" t="e">
        <f t="shared" si="1"/>
        <v>#REF!</v>
      </c>
      <c r="N155" s="66" t="e">
        <f t="shared" si="1"/>
        <v>#REF!</v>
      </c>
      <c r="O155" s="66" t="e">
        <f t="shared" si="1"/>
        <v>#REF!</v>
      </c>
      <c r="P155" s="66"/>
    </row>
    <row r="156" spans="3:17" ht="14.25">
      <c r="C156" s="65" t="s">
        <v>69</v>
      </c>
      <c r="D156" s="21"/>
      <c r="E156" s="47">
        <v>0</v>
      </c>
      <c r="F156" s="47" t="e">
        <f>+L156/F149</f>
        <v>#REF!</v>
      </c>
      <c r="G156" s="47" t="e">
        <f>+M156/G149</f>
        <v>#REF!</v>
      </c>
      <c r="H156" s="47" t="e">
        <f>+N156/H149</f>
        <v>#REF!</v>
      </c>
      <c r="I156" s="47" t="e">
        <f>+O156/I149</f>
        <v>#REF!</v>
      </c>
      <c r="J156" s="70"/>
      <c r="K156" s="66" t="e">
        <f t="shared" si="1"/>
        <v>#REF!</v>
      </c>
      <c r="L156" s="66" t="e">
        <f t="shared" si="1"/>
        <v>#REF!</v>
      </c>
      <c r="M156" s="66" t="e">
        <f t="shared" si="1"/>
        <v>#REF!</v>
      </c>
      <c r="N156" s="66" t="e">
        <f t="shared" si="1"/>
        <v>#REF!</v>
      </c>
      <c r="O156" s="66" t="e">
        <f t="shared" si="1"/>
        <v>#REF!</v>
      </c>
      <c r="P156" s="66"/>
      <c r="Q156" s="87"/>
    </row>
    <row r="157" spans="3:17" ht="14.25">
      <c r="C157" s="65" t="s">
        <v>70</v>
      </c>
      <c r="D157" s="21"/>
      <c r="E157" s="47">
        <v>0</v>
      </c>
      <c r="F157" s="47" t="e">
        <f>+L157/F149</f>
        <v>#REF!</v>
      </c>
      <c r="G157" s="47" t="e">
        <f>+M157/G149</f>
        <v>#REF!</v>
      </c>
      <c r="H157" s="47" t="e">
        <f>+N157/H149</f>
        <v>#REF!</v>
      </c>
      <c r="I157" s="47" t="e">
        <f>+O157/I149</f>
        <v>#REF!</v>
      </c>
      <c r="J157" s="70"/>
      <c r="K157" s="66" t="e">
        <f t="shared" si="1"/>
        <v>#REF!</v>
      </c>
      <c r="L157" s="66" t="e">
        <f t="shared" si="1"/>
        <v>#REF!</v>
      </c>
      <c r="M157" s="66" t="e">
        <f t="shared" si="1"/>
        <v>#REF!</v>
      </c>
      <c r="N157" s="66" t="e">
        <f t="shared" si="1"/>
        <v>#REF!</v>
      </c>
      <c r="O157" s="66" t="e">
        <f t="shared" si="1"/>
        <v>#REF!</v>
      </c>
      <c r="P157" s="66"/>
      <c r="Q157" s="87"/>
    </row>
    <row r="158" spans="3:17" ht="14.25">
      <c r="C158" s="65" t="s">
        <v>71</v>
      </c>
      <c r="D158" s="21"/>
      <c r="E158" s="47">
        <v>0</v>
      </c>
      <c r="F158" s="47" t="e">
        <f>1-F155-F156-F157-F159</f>
        <v>#REF!</v>
      </c>
      <c r="G158" s="47" t="e">
        <f>1-G155-G156-G157-G159</f>
        <v>#REF!</v>
      </c>
      <c r="H158" s="47" t="e">
        <f>1-H155-H156-H157-H159</f>
        <v>#REF!</v>
      </c>
      <c r="I158" s="47" t="e">
        <f>1-I155-I156-I157-I159</f>
        <v>#REF!</v>
      </c>
      <c r="J158" s="70"/>
      <c r="K158" s="66" t="e">
        <f t="shared" si="1"/>
        <v>#REF!</v>
      </c>
      <c r="L158" s="66" t="e">
        <f t="shared" si="1"/>
        <v>#REF!</v>
      </c>
      <c r="M158" s="66" t="e">
        <f t="shared" si="1"/>
        <v>#REF!</v>
      </c>
      <c r="N158" s="66" t="e">
        <f t="shared" si="1"/>
        <v>#REF!</v>
      </c>
      <c r="O158" s="66" t="e">
        <f t="shared" si="1"/>
        <v>#REF!</v>
      </c>
      <c r="P158" s="66"/>
      <c r="Q158" s="87"/>
    </row>
    <row r="159" spans="3:16" ht="14.25">
      <c r="C159" s="68" t="s">
        <v>72</v>
      </c>
      <c r="D159" s="21"/>
      <c r="E159" s="47">
        <v>0</v>
      </c>
      <c r="F159" s="47" t="e">
        <f>+L159/F149</f>
        <v>#REF!</v>
      </c>
      <c r="G159" s="47" t="e">
        <f>+M159/G149</f>
        <v>#REF!</v>
      </c>
      <c r="H159" s="47" t="e">
        <f>+N159/H149</f>
        <v>#REF!</v>
      </c>
      <c r="I159" s="47" t="e">
        <f>+O159/I149</f>
        <v>#REF!</v>
      </c>
      <c r="J159" s="71"/>
      <c r="K159" s="66" t="e">
        <f t="shared" si="1"/>
        <v>#REF!</v>
      </c>
      <c r="L159" s="66" t="e">
        <f t="shared" si="1"/>
        <v>#REF!</v>
      </c>
      <c r="M159" s="66" t="e">
        <f t="shared" si="1"/>
        <v>#REF!</v>
      </c>
      <c r="N159" s="66" t="e">
        <f t="shared" si="1"/>
        <v>#REF!</v>
      </c>
      <c r="O159" s="66" t="e">
        <f t="shared" si="1"/>
        <v>#REF!</v>
      </c>
      <c r="P159" s="66"/>
    </row>
    <row r="160" ht="14.25">
      <c r="P160" s="66"/>
    </row>
    <row r="161" spans="1:16" ht="15" thickBo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66"/>
    </row>
    <row r="162" spans="2:16" ht="14.25">
      <c r="B162" s="63" t="s">
        <v>42</v>
      </c>
      <c r="C162" s="65"/>
      <c r="D162" s="21"/>
      <c r="E162" s="47"/>
      <c r="F162" s="47"/>
      <c r="G162" s="47"/>
      <c r="H162" s="47"/>
      <c r="I162" s="47"/>
      <c r="P162" s="66"/>
    </row>
    <row r="163" spans="3:16" ht="14.25">
      <c r="C163" s="65" t="s">
        <v>165</v>
      </c>
      <c r="D163" s="21"/>
      <c r="E163" s="47">
        <v>0</v>
      </c>
      <c r="F163" s="47" t="e">
        <f>IF(L165=0,0,+L163/L165)</f>
        <v>#REF!</v>
      </c>
      <c r="G163" s="47" t="e">
        <f>IF(M165=0,0,+M163/M165)</f>
        <v>#REF!</v>
      </c>
      <c r="H163" s="47" t="e">
        <f>IF(N165=0,0,+N163/N165)</f>
        <v>#REF!</v>
      </c>
      <c r="I163" s="47" t="e">
        <f>IF(O165=0,0,+O163/O165)</f>
        <v>#REF!</v>
      </c>
      <c r="J163" s="70"/>
      <c r="K163" s="66">
        <v>0</v>
      </c>
      <c r="L163" s="66" t="e">
        <f>ROUND((L82*F79)+(L94*F91)+(L106*F103)+(L118*F115)+(L130*F127)+(L142*F139),0)</f>
        <v>#REF!</v>
      </c>
      <c r="M163" s="66" t="e">
        <f>ROUND((M82*G79)+(M94*G91)+(M106*G103)+(M118*G115)+(M130*G127)+(M142*G139),0)</f>
        <v>#REF!</v>
      </c>
      <c r="N163" s="66" t="e">
        <f>ROUND((N82*H79)+(N94*H91)+(N106*H103)+(N118*H115)+(N130*H127)+(N142*H139),0)</f>
        <v>#REF!</v>
      </c>
      <c r="O163" s="66" t="e">
        <f>ROUND((O82*I79)+(O94*I91)+(O106*I103)+(O118*I115)+(O130*I127)+(O142*I139),0)</f>
        <v>#REF!</v>
      </c>
      <c r="P163" s="66"/>
    </row>
    <row r="164" spans="3:16" ht="14.25">
      <c r="C164" s="65" t="s">
        <v>166</v>
      </c>
      <c r="D164" s="21"/>
      <c r="E164" s="47">
        <v>0</v>
      </c>
      <c r="F164" s="47" t="e">
        <f>IF(L165=0,0,+L164/L165)</f>
        <v>#REF!</v>
      </c>
      <c r="G164" s="47" t="e">
        <f>IF(M165=0,0,+M164/M165)</f>
        <v>#REF!</v>
      </c>
      <c r="H164" s="47" t="e">
        <f>IF(N165=0,0,+N164/N165)</f>
        <v>#REF!</v>
      </c>
      <c r="I164" s="47" t="e">
        <f>IF(O165=0,0,+O164/O165)</f>
        <v>#REF!</v>
      </c>
      <c r="J164" s="70"/>
      <c r="K164" s="66">
        <v>0</v>
      </c>
      <c r="L164" s="66" t="e">
        <f>+L165-L163</f>
        <v>#REF!</v>
      </c>
      <c r="M164" s="66" t="e">
        <f>+M165-M163</f>
        <v>#REF!</v>
      </c>
      <c r="N164" s="66" t="e">
        <f>+N165-N163</f>
        <v>#REF!</v>
      </c>
      <c r="O164" s="66" t="e">
        <f>+O165-O163</f>
        <v>#REF!</v>
      </c>
      <c r="P164" s="66"/>
    </row>
    <row r="165" spans="3:16" ht="14.25">
      <c r="C165" s="65" t="s">
        <v>48</v>
      </c>
      <c r="D165" s="21"/>
      <c r="E165" s="47">
        <v>0</v>
      </c>
      <c r="F165" s="47" t="e">
        <f>IF(L165=0,0,+L165/L165)</f>
        <v>#REF!</v>
      </c>
      <c r="G165" s="47" t="e">
        <f>IF(M165=0,0,+M165/M165)</f>
        <v>#REF!</v>
      </c>
      <c r="H165" s="47" t="e">
        <f>IF(N165=0,0,+N165/N165)</f>
        <v>#REF!</v>
      </c>
      <c r="I165" s="47" t="e">
        <f>IF(O165=0,0,+O165/O165)</f>
        <v>#REF!</v>
      </c>
      <c r="J165" s="70"/>
      <c r="K165" s="66">
        <v>0</v>
      </c>
      <c r="L165" s="66" t="e">
        <f>+L82+L94+L106+L118+L130+L142</f>
        <v>#REF!</v>
      </c>
      <c r="M165" s="66" t="e">
        <f>+M82+M94+M106+M118+M130+M142</f>
        <v>#REF!</v>
      </c>
      <c r="N165" s="66" t="e">
        <f>+N82+N94+N106+N118+N130+N142</f>
        <v>#REF!</v>
      </c>
      <c r="O165" s="66" t="e">
        <f>+O82+O94+O106+O118+O130+O142</f>
        <v>#REF!</v>
      </c>
      <c r="P165" s="66"/>
    </row>
    <row r="166" spans="3:17" ht="14.25">
      <c r="C166" s="65"/>
      <c r="D166" s="21"/>
      <c r="E166" s="47"/>
      <c r="F166" s="47"/>
      <c r="G166" s="47"/>
      <c r="H166" s="47"/>
      <c r="I166" s="47"/>
      <c r="J166" s="70"/>
      <c r="K166" s="66"/>
      <c r="L166" s="66"/>
      <c r="M166" s="66"/>
      <c r="N166" s="66"/>
      <c r="O166" s="66"/>
      <c r="P166" s="66"/>
      <c r="Q166" s="87"/>
    </row>
    <row r="167" spans="2:17" ht="14.25">
      <c r="B167" s="63" t="s">
        <v>44</v>
      </c>
      <c r="C167" s="65"/>
      <c r="D167" s="21"/>
      <c r="E167" s="47"/>
      <c r="F167" s="47"/>
      <c r="G167" s="47"/>
      <c r="H167" s="47"/>
      <c r="I167" s="47"/>
      <c r="J167" s="70"/>
      <c r="K167" s="66"/>
      <c r="L167" s="66"/>
      <c r="M167" s="66"/>
      <c r="N167" s="66"/>
      <c r="O167" s="66"/>
      <c r="P167" s="66"/>
      <c r="Q167" s="87"/>
    </row>
    <row r="168" spans="3:17" ht="14.25">
      <c r="C168" s="65" t="s">
        <v>165</v>
      </c>
      <c r="D168" s="21"/>
      <c r="E168" s="47">
        <v>0</v>
      </c>
      <c r="F168" s="47" t="e">
        <f>+L168/L170</f>
        <v>#REF!</v>
      </c>
      <c r="G168" s="47" t="e">
        <f>+M168/M170</f>
        <v>#REF!</v>
      </c>
      <c r="H168" s="47" t="e">
        <f>+N168/N170</f>
        <v>#REF!</v>
      </c>
      <c r="I168" s="47" t="e">
        <f>+O168/O170</f>
        <v>#REF!</v>
      </c>
      <c r="J168" s="70"/>
      <c r="K168" s="66">
        <v>0</v>
      </c>
      <c r="L168" s="66" t="e">
        <f>ROUND((L83*F79)+(L95*F91)+(L107*F103)+(L119*F115)+(L131*F127)+(L143*F139),0)</f>
        <v>#REF!</v>
      </c>
      <c r="M168" s="66" t="e">
        <f>ROUND((M83*G79)+(M95*G91)+(M107*G103)+(M119*G115)+(M131*G127)+(M143*G139),0)</f>
        <v>#REF!</v>
      </c>
      <c r="N168" s="66" t="e">
        <f>ROUND((N83*H79)+(N95*H91)+(N107*H103)+(N119*H115)+(N131*H127)+(N143*H139),0)</f>
        <v>#REF!</v>
      </c>
      <c r="O168" s="66" t="e">
        <f>ROUND((O83*I79)+(O95*I91)+(O107*I103)+(O119*I115)+(O131*I127)+(O143*I139),0)</f>
        <v>#REF!</v>
      </c>
      <c r="P168" s="66"/>
      <c r="Q168" s="87"/>
    </row>
    <row r="169" spans="3:16" ht="14.25">
      <c r="C169" s="65" t="s">
        <v>166</v>
      </c>
      <c r="D169" s="21"/>
      <c r="E169" s="47">
        <v>0</v>
      </c>
      <c r="F169" s="47" t="e">
        <f>+L169/L170</f>
        <v>#REF!</v>
      </c>
      <c r="G169" s="47" t="e">
        <f>+M169/M170</f>
        <v>#REF!</v>
      </c>
      <c r="H169" s="47" t="e">
        <f>+N169/N170</f>
        <v>#REF!</v>
      </c>
      <c r="I169" s="47" t="e">
        <f>+O169/O170</f>
        <v>#REF!</v>
      </c>
      <c r="J169" s="70"/>
      <c r="K169" s="66">
        <v>0</v>
      </c>
      <c r="L169" s="66" t="e">
        <f>+L170-L168</f>
        <v>#REF!</v>
      </c>
      <c r="M169" s="66" t="e">
        <f>+M170-M168</f>
        <v>#REF!</v>
      </c>
      <c r="N169" s="66" t="e">
        <f>+N170-N168</f>
        <v>#REF!</v>
      </c>
      <c r="O169" s="66" t="e">
        <f>+O170-O168</f>
        <v>#REF!</v>
      </c>
      <c r="P169" s="66"/>
    </row>
    <row r="170" spans="3:16" ht="14.25">
      <c r="C170" s="65" t="s">
        <v>48</v>
      </c>
      <c r="E170" s="47">
        <v>0</v>
      </c>
      <c r="F170" s="47" t="e">
        <f>+L170/L170</f>
        <v>#REF!</v>
      </c>
      <c r="G170" s="47" t="e">
        <f>+M170/M170</f>
        <v>#REF!</v>
      </c>
      <c r="H170" s="47" t="e">
        <f>+N170/N170</f>
        <v>#REF!</v>
      </c>
      <c r="I170" s="47" t="e">
        <f>+O170/O170</f>
        <v>#REF!</v>
      </c>
      <c r="J170" s="70"/>
      <c r="K170" s="66">
        <v>0</v>
      </c>
      <c r="L170" s="66" t="e">
        <f>+L83+L95+L107+L119+L131+L143</f>
        <v>#REF!</v>
      </c>
      <c r="M170" s="66" t="e">
        <f>+M83+M95+M107+M119+M131+M143</f>
        <v>#REF!</v>
      </c>
      <c r="N170" s="66" t="e">
        <f>+N83+N95+N107+N119+N131+N143</f>
        <v>#REF!</v>
      </c>
      <c r="O170" s="66" t="e">
        <f>+O83+O95+O107+O119+O131+O143</f>
        <v>#REF!</v>
      </c>
      <c r="P170" s="66"/>
    </row>
    <row r="172" spans="2:3" ht="14.25">
      <c r="B172" s="63" t="s">
        <v>45</v>
      </c>
      <c r="C172" s="65"/>
    </row>
    <row r="173" spans="3:15" ht="14.25">
      <c r="C173" s="65" t="s">
        <v>165</v>
      </c>
      <c r="E173" s="47">
        <v>0</v>
      </c>
      <c r="F173" s="47" t="e">
        <f>+L173/L175</f>
        <v>#REF!</v>
      </c>
      <c r="G173" s="47" t="e">
        <f>+M173/M175</f>
        <v>#REF!</v>
      </c>
      <c r="H173" s="47" t="e">
        <f>+N173/N175</f>
        <v>#REF!</v>
      </c>
      <c r="I173" s="47" t="e">
        <f>+O173/O175</f>
        <v>#REF!</v>
      </c>
      <c r="J173" s="70"/>
      <c r="K173" s="66">
        <v>0</v>
      </c>
      <c r="L173" s="66" t="e">
        <f>ROUND((L84*F79)+(L96*F91)+(L108*F103)+(L120*F115)+(L132*F127)+(L144*F139),0)</f>
        <v>#REF!</v>
      </c>
      <c r="M173" s="66" t="e">
        <f>ROUND((M84*G79)+(M96*G91)+(M108*G103)+(M120*G115)+(M132*G127)+(M144*G139),0)</f>
        <v>#REF!</v>
      </c>
      <c r="N173" s="66" t="e">
        <f>ROUND((N84*H79)+(N96*H91)+(N108*H103)+(N120*H115)+(N132*H127)+(N144*H139),0)</f>
        <v>#REF!</v>
      </c>
      <c r="O173" s="66" t="e">
        <f>ROUND((O84*I79)+(O96*I91)+(O108*I103)+(O120*I115)+(O132*I127)+(O144*I139),0)</f>
        <v>#REF!</v>
      </c>
    </row>
    <row r="174" spans="3:15" ht="14.25">
      <c r="C174" s="65" t="s">
        <v>166</v>
      </c>
      <c r="E174" s="47">
        <v>0</v>
      </c>
      <c r="F174" s="47" t="e">
        <f>+L174/L175</f>
        <v>#REF!</v>
      </c>
      <c r="G174" s="47" t="e">
        <f>+M174/M175</f>
        <v>#REF!</v>
      </c>
      <c r="H174" s="47" t="e">
        <f>+N174/N175</f>
        <v>#REF!</v>
      </c>
      <c r="I174" s="47" t="e">
        <f>+O174/O175</f>
        <v>#REF!</v>
      </c>
      <c r="J174" s="70"/>
      <c r="K174" s="66">
        <v>0</v>
      </c>
      <c r="L174" s="66" t="e">
        <f>+L175-L173</f>
        <v>#REF!</v>
      </c>
      <c r="M174" s="66" t="e">
        <f>+M175-M173</f>
        <v>#REF!</v>
      </c>
      <c r="N174" s="66" t="e">
        <f>+N175-N173</f>
        <v>#REF!</v>
      </c>
      <c r="O174" s="66" t="e">
        <f>+O175-O173</f>
        <v>#REF!</v>
      </c>
    </row>
    <row r="175" spans="3:15" ht="14.25">
      <c r="C175" s="65" t="s">
        <v>48</v>
      </c>
      <c r="E175" s="47">
        <v>0</v>
      </c>
      <c r="F175" s="47" t="e">
        <f>+L175/L175</f>
        <v>#REF!</v>
      </c>
      <c r="G175" s="47" t="e">
        <f>+M175/M175</f>
        <v>#REF!</v>
      </c>
      <c r="H175" s="47" t="e">
        <f>+N175/N175</f>
        <v>#REF!</v>
      </c>
      <c r="I175" s="47" t="e">
        <f>+O175/O175</f>
        <v>#REF!</v>
      </c>
      <c r="J175" s="70"/>
      <c r="K175" s="66">
        <v>0</v>
      </c>
      <c r="L175" s="66" t="e">
        <f>+L84+L96+L108+L120+L132+L144</f>
        <v>#REF!</v>
      </c>
      <c r="M175" s="66" t="e">
        <f>+M84+M96+M108+M120+M132+M144</f>
        <v>#REF!</v>
      </c>
      <c r="N175" s="66" t="e">
        <f>+N84+N96+N108+N120+N132+N144</f>
        <v>#REF!</v>
      </c>
      <c r="O175" s="66" t="e">
        <f>+O84+O96+O108+O120+O132+O144</f>
        <v>#REF!</v>
      </c>
    </row>
    <row r="177" spans="2:3" ht="14.25">
      <c r="B177" s="63" t="s">
        <v>46</v>
      </c>
      <c r="C177" s="65"/>
    </row>
    <row r="178" spans="3:15" ht="14.25">
      <c r="C178" s="65" t="s">
        <v>165</v>
      </c>
      <c r="E178" s="47">
        <v>0</v>
      </c>
      <c r="F178" s="47" t="e">
        <f>+L178/L180</f>
        <v>#REF!</v>
      </c>
      <c r="G178" s="47" t="e">
        <f>+M178/M180</f>
        <v>#REF!</v>
      </c>
      <c r="H178" s="47" t="e">
        <f>+N178/N180</f>
        <v>#REF!</v>
      </c>
      <c r="I178" s="47" t="e">
        <f>+O178/O180</f>
        <v>#REF!</v>
      </c>
      <c r="J178" s="70"/>
      <c r="K178" s="66">
        <v>0</v>
      </c>
      <c r="L178" s="66" t="e">
        <f>(L85*F79)+(L97*F91)+(L109*F103)+(L121*F115)+(L133*F127)+(L145*F139)</f>
        <v>#REF!</v>
      </c>
      <c r="M178" s="66" t="e">
        <f>(M85*G79)+(M97*G91)+(M109*G103)+(M121*G115)+(M133*G127)+(M145*G139)</f>
        <v>#REF!</v>
      </c>
      <c r="N178" s="66" t="e">
        <f>(N85*H79)+(N97*H91)+(N109*H103)+(N121*H115)+(N133*H127)+(N145*H139)</f>
        <v>#REF!</v>
      </c>
      <c r="O178" s="66" t="e">
        <f>(O85*I79)+(O97*I91)+(O109*I103)+(O121*I115)+(O133*I127)+(O145*I139)</f>
        <v>#REF!</v>
      </c>
    </row>
    <row r="179" spans="3:15" ht="14.25">
      <c r="C179" s="65" t="s">
        <v>166</v>
      </c>
      <c r="E179" s="47">
        <v>0</v>
      </c>
      <c r="F179" s="47" t="e">
        <f>+L179/L180</f>
        <v>#REF!</v>
      </c>
      <c r="G179" s="47" t="e">
        <f>+M179/M180</f>
        <v>#REF!</v>
      </c>
      <c r="H179" s="47" t="e">
        <f>+N179/N180</f>
        <v>#REF!</v>
      </c>
      <c r="I179" s="47" t="e">
        <f>+O179/O180</f>
        <v>#REF!</v>
      </c>
      <c r="J179" s="70"/>
      <c r="K179" s="66">
        <v>0</v>
      </c>
      <c r="L179" s="66" t="e">
        <f>+L180-L178</f>
        <v>#REF!</v>
      </c>
      <c r="M179" s="66" t="e">
        <f>+M180-M178</f>
        <v>#REF!</v>
      </c>
      <c r="N179" s="66" t="e">
        <f>+N180-N178</f>
        <v>#REF!</v>
      </c>
      <c r="O179" s="66" t="e">
        <f>+O180-O178</f>
        <v>#REF!</v>
      </c>
    </row>
    <row r="180" spans="3:15" ht="14.25">
      <c r="C180" s="65" t="s">
        <v>48</v>
      </c>
      <c r="E180" s="47">
        <v>0</v>
      </c>
      <c r="F180" s="47" t="e">
        <f>+L180/L180</f>
        <v>#REF!</v>
      </c>
      <c r="G180" s="47" t="e">
        <f>+M180/M180</f>
        <v>#REF!</v>
      </c>
      <c r="H180" s="47" t="e">
        <f>+N180/N180</f>
        <v>#REF!</v>
      </c>
      <c r="I180" s="47" t="e">
        <f>+O180/O180</f>
        <v>#REF!</v>
      </c>
      <c r="J180" s="70"/>
      <c r="K180" s="66">
        <v>0</v>
      </c>
      <c r="L180" s="66" t="e">
        <f>+L85+L97+L109+L121+L133+L145</f>
        <v>#REF!</v>
      </c>
      <c r="M180" s="66" t="e">
        <f>+M85+M97+M109+M121+M133+M145</f>
        <v>#REF!</v>
      </c>
      <c r="N180" s="66" t="e">
        <f>+N85+N97+N109+N121+N133+N145</f>
        <v>#REF!</v>
      </c>
      <c r="O180" s="66" t="e">
        <f>+O85+O97+O109+O121+O133+O145</f>
        <v>#REF!</v>
      </c>
    </row>
    <row r="182" spans="2:3" ht="14.25">
      <c r="B182" s="63" t="s">
        <v>49</v>
      </c>
      <c r="C182" s="65"/>
    </row>
    <row r="183" spans="3:15" ht="14.25">
      <c r="C183" s="65" t="s">
        <v>165</v>
      </c>
      <c r="E183" s="47">
        <v>0</v>
      </c>
      <c r="F183" s="47" t="e">
        <f>+L183/L185</f>
        <v>#REF!</v>
      </c>
      <c r="G183" s="47" t="e">
        <f>+M183/M185</f>
        <v>#REF!</v>
      </c>
      <c r="H183" s="47" t="e">
        <f>+N183/N185</f>
        <v>#REF!</v>
      </c>
      <c r="I183" s="47" t="e">
        <f>+O183/O185</f>
        <v>#REF!</v>
      </c>
      <c r="J183" s="70"/>
      <c r="K183" s="66">
        <v>0</v>
      </c>
      <c r="L183" s="66" t="e">
        <f>(L86*F79)+(L98*F91)+(L110*F103)+(L122*F115)+(L134*F127)+(L146*F139)</f>
        <v>#REF!</v>
      </c>
      <c r="M183" s="66" t="e">
        <f>(M86*G79)+(M98*G91)+(M110*G103)+(M122*G115)+(M134*G127)+(M146*G139)</f>
        <v>#REF!</v>
      </c>
      <c r="N183" s="66" t="e">
        <f>(N86*H79)+(N98*H91)+(N110*H103)+(N122*H115)+(N134*H127)+(N146*H139)</f>
        <v>#REF!</v>
      </c>
      <c r="O183" s="66" t="e">
        <f>(O86*I79)+(O98*I91)+(O110*I103)+(O122*I115)+(O134*I127)+(O146*I139)</f>
        <v>#REF!</v>
      </c>
    </row>
    <row r="184" spans="3:15" ht="14.25">
      <c r="C184" s="65" t="s">
        <v>166</v>
      </c>
      <c r="E184" s="47">
        <v>0</v>
      </c>
      <c r="F184" s="47" t="e">
        <f>+L184/L185</f>
        <v>#REF!</v>
      </c>
      <c r="G184" s="47" t="e">
        <f>+M184/M185</f>
        <v>#REF!</v>
      </c>
      <c r="H184" s="47" t="e">
        <f>+N184/N185</f>
        <v>#REF!</v>
      </c>
      <c r="I184" s="47" t="e">
        <f>+O184/O185</f>
        <v>#REF!</v>
      </c>
      <c r="J184" s="70"/>
      <c r="K184" s="66">
        <v>0</v>
      </c>
      <c r="L184" s="66" t="e">
        <f>+L185-L183</f>
        <v>#REF!</v>
      </c>
      <c r="M184" s="66" t="e">
        <f>+M185-M183</f>
        <v>#REF!</v>
      </c>
      <c r="N184" s="66" t="e">
        <f>+N185-N183</f>
        <v>#REF!</v>
      </c>
      <c r="O184" s="66" t="e">
        <f>+O185-O183</f>
        <v>#REF!</v>
      </c>
    </row>
    <row r="185" spans="3:15" ht="14.25">
      <c r="C185" s="65" t="s">
        <v>48</v>
      </c>
      <c r="E185" s="47">
        <v>0</v>
      </c>
      <c r="F185" s="47" t="e">
        <f>+L185/L185</f>
        <v>#REF!</v>
      </c>
      <c r="G185" s="47" t="e">
        <f>+M185/M185</f>
        <v>#REF!</v>
      </c>
      <c r="H185" s="47" t="e">
        <f>+N185/N185</f>
        <v>#REF!</v>
      </c>
      <c r="I185" s="47" t="e">
        <f>+O185/O185</f>
        <v>#REF!</v>
      </c>
      <c r="J185" s="70"/>
      <c r="K185" s="66">
        <v>0</v>
      </c>
      <c r="L185" s="66" t="e">
        <f>+L86+L98+L110+L122+L134+L146</f>
        <v>#REF!</v>
      </c>
      <c r="M185" s="66" t="e">
        <f>+M86+M98+M110+M122+M134+M146</f>
        <v>#REF!</v>
      </c>
      <c r="N185" s="66" t="e">
        <f>+N86+N98+N110+N122+N134+N146</f>
        <v>#REF!</v>
      </c>
      <c r="O185" s="66" t="e">
        <f>+O86+O98+O110+O122+O134+O146</f>
        <v>#REF!</v>
      </c>
    </row>
    <row r="187" spans="2:3" ht="14.25">
      <c r="B187" s="63" t="s">
        <v>47</v>
      </c>
      <c r="C187" s="65"/>
    </row>
    <row r="188" spans="3:15" ht="14.25">
      <c r="C188" s="65" t="s">
        <v>165</v>
      </c>
      <c r="E188" s="47">
        <v>0</v>
      </c>
      <c r="F188" s="47" t="e">
        <f>+L188/L190</f>
        <v>#REF!</v>
      </c>
      <c r="G188" s="47" t="e">
        <f>+M188/M190</f>
        <v>#REF!</v>
      </c>
      <c r="H188" s="47" t="e">
        <f>+N188/N190</f>
        <v>#REF!</v>
      </c>
      <c r="I188" s="47" t="e">
        <f>+O188/O190</f>
        <v>#REF!</v>
      </c>
      <c r="J188" s="70"/>
      <c r="K188" s="66">
        <v>0</v>
      </c>
      <c r="L188" s="66" t="e">
        <f aca="true" t="shared" si="2" ref="L188:O190">+L163+L168+L173+L178+L183</f>
        <v>#REF!</v>
      </c>
      <c r="M188" s="66" t="e">
        <f t="shared" si="2"/>
        <v>#REF!</v>
      </c>
      <c r="N188" s="66" t="e">
        <f t="shared" si="2"/>
        <v>#REF!</v>
      </c>
      <c r="O188" s="66" t="e">
        <f t="shared" si="2"/>
        <v>#REF!</v>
      </c>
    </row>
    <row r="189" spans="3:15" ht="14.25">
      <c r="C189" s="65" t="s">
        <v>166</v>
      </c>
      <c r="E189" s="47">
        <v>0</v>
      </c>
      <c r="F189" s="47" t="e">
        <f>+L189/L190</f>
        <v>#REF!</v>
      </c>
      <c r="G189" s="47" t="e">
        <f>+M189/M190</f>
        <v>#REF!</v>
      </c>
      <c r="H189" s="47" t="e">
        <f>+N189/N190</f>
        <v>#REF!</v>
      </c>
      <c r="I189" s="47" t="e">
        <f>+O189/O190</f>
        <v>#REF!</v>
      </c>
      <c r="J189" s="70"/>
      <c r="K189" s="66">
        <v>0</v>
      </c>
      <c r="L189" s="66" t="e">
        <f t="shared" si="2"/>
        <v>#REF!</v>
      </c>
      <c r="M189" s="66" t="e">
        <f t="shared" si="2"/>
        <v>#REF!</v>
      </c>
      <c r="N189" s="66" t="e">
        <f t="shared" si="2"/>
        <v>#REF!</v>
      </c>
      <c r="O189" s="66" t="e">
        <f t="shared" si="2"/>
        <v>#REF!</v>
      </c>
    </row>
    <row r="190" spans="3:15" ht="14.25">
      <c r="C190" s="65" t="s">
        <v>48</v>
      </c>
      <c r="E190" s="47">
        <v>0</v>
      </c>
      <c r="F190" s="47" t="e">
        <f>+L190/L190</f>
        <v>#REF!</v>
      </c>
      <c r="G190" s="47" t="e">
        <f>+M190/M190</f>
        <v>#REF!</v>
      </c>
      <c r="H190" s="47" t="e">
        <f>+N190/N190</f>
        <v>#REF!</v>
      </c>
      <c r="I190" s="47" t="e">
        <f>+O190/O190</f>
        <v>#REF!</v>
      </c>
      <c r="J190" s="70"/>
      <c r="K190" s="66">
        <v>0</v>
      </c>
      <c r="L190" s="66" t="e">
        <f t="shared" si="2"/>
        <v>#REF!</v>
      </c>
      <c r="M190" s="66" t="e">
        <f t="shared" si="2"/>
        <v>#REF!</v>
      </c>
      <c r="N190" s="66" t="e">
        <f t="shared" si="2"/>
        <v>#REF!</v>
      </c>
      <c r="O190" s="66" t="e">
        <f t="shared" si="2"/>
        <v>#REF!</v>
      </c>
    </row>
    <row r="191" spans="12:15" ht="14.25">
      <c r="L191" s="83"/>
      <c r="M191" s="83"/>
      <c r="N191" s="83"/>
      <c r="O191" s="83"/>
    </row>
  </sheetData>
  <sheetProtection/>
  <printOptions/>
  <pageMargins left="0.91" right="0.12" top="0.54" bottom="0.34" header="0.23" footer="0.23"/>
  <pageSetup fitToHeight="1" fitToWidth="1" horizontalDpi="600" verticalDpi="600" orientation="portrait" scale="88"/>
  <headerFooter alignWithMargins="0">
    <oddHeader>&amp;LConfidential&amp;CLuminetx, Corporation
Sales Projections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24.421875" style="0" bestFit="1" customWidth="1"/>
    <col min="2" max="3" width="14.00390625" style="0" customWidth="1"/>
    <col min="4" max="5" width="14.00390625" style="0" bestFit="1" customWidth="1"/>
    <col min="6" max="6" width="15.00390625" style="0" bestFit="1" customWidth="1"/>
  </cols>
  <sheetData>
    <row r="3" spans="2:6" ht="12.75">
      <c r="B3" s="23" t="s">
        <v>51</v>
      </c>
      <c r="C3" s="23" t="s">
        <v>129</v>
      </c>
      <c r="D3" s="23" t="s">
        <v>130</v>
      </c>
      <c r="E3" s="24" t="s">
        <v>131</v>
      </c>
      <c r="F3" s="24" t="s">
        <v>41</v>
      </c>
    </row>
    <row r="4" spans="1:6" ht="12.75">
      <c r="A4" s="5" t="s">
        <v>42</v>
      </c>
      <c r="B4" s="28">
        <v>0</v>
      </c>
      <c r="C4" s="28">
        <v>1197</v>
      </c>
      <c r="D4" s="28">
        <v>3643</v>
      </c>
      <c r="E4" s="28">
        <v>8379</v>
      </c>
      <c r="F4" s="28">
        <v>16382</v>
      </c>
    </row>
    <row r="5" spans="1:8" ht="12.75">
      <c r="A5" s="5" t="s">
        <v>101</v>
      </c>
      <c r="B5" s="3">
        <v>840</v>
      </c>
      <c r="C5" s="3">
        <v>7215</v>
      </c>
      <c r="D5" s="3">
        <v>6310</v>
      </c>
      <c r="E5" s="3">
        <v>9357</v>
      </c>
      <c r="F5" s="3">
        <v>13818</v>
      </c>
      <c r="H5" s="3"/>
    </row>
    <row r="6" spans="1:6" ht="12.75">
      <c r="A6" s="9" t="s">
        <v>45</v>
      </c>
      <c r="B6" s="3">
        <v>0</v>
      </c>
      <c r="C6" s="3">
        <v>14695</v>
      </c>
      <c r="D6" s="3">
        <v>38177</v>
      </c>
      <c r="E6" s="3">
        <v>75386</v>
      </c>
      <c r="F6" s="3">
        <v>116730</v>
      </c>
    </row>
    <row r="7" spans="1:6" ht="12.75">
      <c r="A7" s="5" t="s">
        <v>46</v>
      </c>
      <c r="B7" s="3">
        <v>0</v>
      </c>
      <c r="C7" s="3">
        <v>9580</v>
      </c>
      <c r="D7" s="3">
        <v>17190</v>
      </c>
      <c r="E7" s="3">
        <v>24814</v>
      </c>
      <c r="F7" s="3">
        <v>32541</v>
      </c>
    </row>
    <row r="8" spans="1:6" ht="12.75">
      <c r="A8" s="5" t="s">
        <v>49</v>
      </c>
      <c r="B8" s="3">
        <v>0</v>
      </c>
      <c r="C8" s="3">
        <v>177</v>
      </c>
      <c r="D8" s="3">
        <v>68</v>
      </c>
      <c r="E8" s="3">
        <v>68</v>
      </c>
      <c r="F8" s="3">
        <v>68</v>
      </c>
    </row>
    <row r="9" spans="1:6" ht="13.5" thickBot="1">
      <c r="A9" s="27" t="s">
        <v>48</v>
      </c>
      <c r="B9" s="29">
        <f>SUM(B4:B8)</f>
        <v>840</v>
      </c>
      <c r="C9" s="29">
        <f>SUM(C4:C8)</f>
        <v>32864</v>
      </c>
      <c r="D9" s="29">
        <f>SUM(D4:D8)</f>
        <v>65388</v>
      </c>
      <c r="E9" s="29">
        <f>SUM(E4:E8)</f>
        <v>118004</v>
      </c>
      <c r="F9" s="29">
        <f>SUM(F4:F8)</f>
        <v>179539</v>
      </c>
    </row>
    <row r="10" ht="13.5" thickTop="1">
      <c r="C10" s="31"/>
    </row>
    <row r="11" ht="12.75">
      <c r="C11" s="3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6" width="8.8515625" style="0" customWidth="1"/>
    <col min="7" max="7" width="9.8515625" style="0" bestFit="1" customWidth="1"/>
  </cols>
  <sheetData>
    <row r="1" spans="3:18" s="3" customFormat="1" ht="12.75">
      <c r="C1" s="7"/>
      <c r="D1" s="7"/>
      <c r="E1" s="7"/>
      <c r="F1" s="7"/>
      <c r="G1" s="16" t="s">
        <v>120</v>
      </c>
      <c r="H1" s="7"/>
      <c r="I1" s="7"/>
      <c r="J1" s="16"/>
      <c r="K1" s="16"/>
      <c r="L1" s="16"/>
      <c r="M1" s="16"/>
      <c r="N1" s="16"/>
      <c r="O1" s="16"/>
      <c r="P1" s="16"/>
      <c r="Q1" s="7"/>
      <c r="R1" s="7"/>
    </row>
    <row r="2" spans="3:18" s="3" customFormat="1" ht="12.75">
      <c r="C2" s="7"/>
      <c r="D2" s="16" t="s">
        <v>42</v>
      </c>
      <c r="E2" s="7"/>
      <c r="F2" s="16" t="s">
        <v>119</v>
      </c>
      <c r="G2" s="16" t="s">
        <v>121</v>
      </c>
      <c r="H2" s="7"/>
      <c r="I2" s="7"/>
      <c r="J2" s="16"/>
      <c r="K2" s="16"/>
      <c r="L2" s="16"/>
      <c r="M2" s="16"/>
      <c r="N2" s="16"/>
      <c r="O2" s="16"/>
      <c r="P2" s="16"/>
      <c r="Q2" s="7"/>
      <c r="R2" s="7"/>
    </row>
    <row r="3" spans="3:18" s="3" customFormat="1" ht="12.75">
      <c r="C3" s="7"/>
      <c r="D3" s="19" t="s">
        <v>118</v>
      </c>
      <c r="E3" s="7"/>
      <c r="F3" s="19" t="s">
        <v>118</v>
      </c>
      <c r="G3" s="19" t="s">
        <v>118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3" customFormat="1" ht="12.75">
      <c r="A4" s="4" t="s">
        <v>114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3" customFormat="1" ht="12.75">
      <c r="A5" s="3" t="s">
        <v>115</v>
      </c>
      <c r="C5" s="7"/>
      <c r="D5" s="17">
        <v>7920100</v>
      </c>
      <c r="E5" s="7"/>
      <c r="F5" s="17">
        <f>9542000-1051000</f>
        <v>8491000</v>
      </c>
      <c r="G5" s="17">
        <v>23254000</v>
      </c>
      <c r="H5" s="17"/>
      <c r="I5" s="17"/>
      <c r="J5" s="7"/>
      <c r="K5" s="17"/>
      <c r="L5" s="17"/>
      <c r="M5" s="17"/>
      <c r="N5" s="7"/>
      <c r="O5" s="7"/>
      <c r="P5" s="7"/>
      <c r="Q5" s="7"/>
      <c r="R5" s="7"/>
    </row>
    <row r="6" spans="1:18" s="3" customFormat="1" ht="12.75">
      <c r="A6" s="3" t="s">
        <v>116</v>
      </c>
      <c r="C6" s="7"/>
      <c r="D6" s="17">
        <f>(2204385+1892241)/2</f>
        <v>2048313</v>
      </c>
      <c r="E6" s="7"/>
      <c r="F6" s="17">
        <f>(1644000+871000)/2</f>
        <v>1257500</v>
      </c>
      <c r="G6" s="17">
        <f>(8545000+8631000)/2</f>
        <v>8588000</v>
      </c>
      <c r="H6" s="17"/>
      <c r="I6" s="17"/>
      <c r="J6" s="7"/>
      <c r="K6" s="17"/>
      <c r="L6" s="17"/>
      <c r="M6" s="17"/>
      <c r="N6" s="7"/>
      <c r="O6" s="7"/>
      <c r="P6" s="7"/>
      <c r="Q6" s="7"/>
      <c r="R6" s="7"/>
    </row>
    <row r="7" spans="1:18" s="3" customFormat="1" ht="12.75">
      <c r="A7" s="3" t="s">
        <v>117</v>
      </c>
      <c r="C7" s="7"/>
      <c r="D7" s="20">
        <f>+D5/D6</f>
        <v>3.86664538085732</v>
      </c>
      <c r="E7" s="7"/>
      <c r="F7" s="20">
        <f>+F5/F6</f>
        <v>6.752286282306163</v>
      </c>
      <c r="G7" s="20">
        <f>+G5/G6</f>
        <v>2.707731718677224</v>
      </c>
      <c r="H7" s="20"/>
      <c r="I7" s="20"/>
      <c r="J7" s="7"/>
      <c r="K7" s="20"/>
      <c r="L7" s="20"/>
      <c r="M7" s="20"/>
      <c r="N7" s="7"/>
      <c r="O7" s="7"/>
      <c r="P7" s="7"/>
      <c r="Q7" s="7"/>
      <c r="R7" s="7"/>
    </row>
    <row r="8" spans="3:18" s="3" customFormat="1" ht="12.7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6">
      <selection activeCell="C27" sqref="C27"/>
    </sheetView>
  </sheetViews>
  <sheetFormatPr defaultColWidth="9.00390625" defaultRowHeight="12.75"/>
  <cols>
    <col min="1" max="1" width="9.00390625" style="0" customWidth="1"/>
    <col min="2" max="2" width="11.00390625" style="0" customWidth="1"/>
    <col min="3" max="3" width="29.57421875" style="0" bestFit="1" customWidth="1"/>
    <col min="4" max="4" width="13.28125" style="0" bestFit="1" customWidth="1"/>
    <col min="5" max="5" width="14.421875" style="0" bestFit="1" customWidth="1"/>
    <col min="6" max="6" width="9.00390625" style="0" customWidth="1"/>
    <col min="7" max="7" width="8.421875" style="0" customWidth="1"/>
    <col min="8" max="8" width="10.421875" style="0" bestFit="1" customWidth="1"/>
    <col min="9" max="9" width="31.421875" style="0" bestFit="1" customWidth="1"/>
    <col min="10" max="10" width="12.421875" style="0" bestFit="1" customWidth="1"/>
    <col min="11" max="11" width="18.00390625" style="0" bestFit="1" customWidth="1"/>
  </cols>
  <sheetData>
    <row r="1" ht="12.75">
      <c r="A1" s="14" t="s">
        <v>323</v>
      </c>
    </row>
    <row r="2" ht="12.75">
      <c r="A2" s="14" t="s">
        <v>324</v>
      </c>
    </row>
    <row r="7" spans="2:11" ht="12.75">
      <c r="B7" s="227" t="s">
        <v>234</v>
      </c>
      <c r="C7" s="217"/>
      <c r="D7" s="217"/>
      <c r="E7" s="217"/>
      <c r="G7" s="227" t="s">
        <v>319</v>
      </c>
      <c r="H7" s="217"/>
      <c r="I7" s="217"/>
      <c r="J7" s="217"/>
      <c r="K7" s="217"/>
    </row>
    <row r="8" spans="2:11" ht="12.75">
      <c r="B8" s="217"/>
      <c r="C8" s="217"/>
      <c r="D8" s="217"/>
      <c r="E8" s="217"/>
      <c r="G8" s="217"/>
      <c r="H8" s="217"/>
      <c r="I8" s="217"/>
      <c r="J8" s="217"/>
      <c r="K8" s="217"/>
    </row>
    <row r="9" spans="2:11" ht="12.75">
      <c r="B9" s="217"/>
      <c r="C9" s="217"/>
      <c r="D9" s="217"/>
      <c r="E9" s="217"/>
      <c r="G9" s="217"/>
      <c r="H9" s="217"/>
      <c r="I9" s="217"/>
      <c r="J9" s="217"/>
      <c r="K9" s="217"/>
    </row>
    <row r="10" spans="2:11" ht="12.75">
      <c r="B10" s="217"/>
      <c r="C10" s="217" t="s">
        <v>302</v>
      </c>
      <c r="D10" s="217" t="s">
        <v>303</v>
      </c>
      <c r="E10" s="217" t="s">
        <v>304</v>
      </c>
      <c r="G10" s="217"/>
      <c r="H10" s="217" t="s">
        <v>307</v>
      </c>
      <c r="I10" s="217" t="s">
        <v>303</v>
      </c>
      <c r="J10" s="217" t="s">
        <v>308</v>
      </c>
      <c r="K10" s="217" t="s">
        <v>304</v>
      </c>
    </row>
    <row r="11" spans="2:11" ht="12.75">
      <c r="B11" s="217"/>
      <c r="C11" s="217">
        <v>4</v>
      </c>
      <c r="D11" s="221">
        <v>24000</v>
      </c>
      <c r="E11" s="221">
        <f>D11*C11</f>
        <v>96000</v>
      </c>
      <c r="G11" s="217"/>
      <c r="H11" s="217" t="s">
        <v>305</v>
      </c>
      <c r="I11" s="221">
        <v>600</v>
      </c>
      <c r="J11" s="217">
        <v>50</v>
      </c>
      <c r="K11" s="221">
        <f>J11*I11</f>
        <v>30000</v>
      </c>
    </row>
    <row r="12" spans="2:11" ht="12.75">
      <c r="B12" s="217"/>
      <c r="C12" s="217">
        <v>4</v>
      </c>
      <c r="D12" s="221">
        <v>18000</v>
      </c>
      <c r="E12" s="221">
        <f>D12*C12</f>
        <v>72000</v>
      </c>
      <c r="G12" s="217"/>
      <c r="H12" s="217" t="s">
        <v>306</v>
      </c>
      <c r="I12" s="221">
        <v>200</v>
      </c>
      <c r="J12" s="217">
        <v>50</v>
      </c>
      <c r="K12" s="221">
        <f>J12*I12</f>
        <v>10000</v>
      </c>
    </row>
    <row r="13" spans="2:11" ht="12.75">
      <c r="B13" s="217" t="s">
        <v>311</v>
      </c>
      <c r="C13" s="217">
        <v>10</v>
      </c>
      <c r="D13" s="221">
        <v>12000</v>
      </c>
      <c r="E13" s="221">
        <f>D13*C13</f>
        <v>120000</v>
      </c>
      <c r="G13" s="217"/>
      <c r="H13" s="217"/>
      <c r="I13" s="217"/>
      <c r="J13" s="217"/>
      <c r="K13" s="221"/>
    </row>
    <row r="14" spans="2:11" ht="12.75">
      <c r="B14" s="217" t="s">
        <v>311</v>
      </c>
      <c r="C14" s="217">
        <v>20</v>
      </c>
      <c r="D14" s="221">
        <v>6000</v>
      </c>
      <c r="E14" s="221">
        <f>D14*C14</f>
        <v>120000</v>
      </c>
      <c r="G14" s="217"/>
      <c r="H14" s="217"/>
      <c r="I14" s="217"/>
      <c r="J14" s="217"/>
      <c r="K14" s="217"/>
    </row>
    <row r="15" spans="2:11" ht="12.75">
      <c r="B15" s="217" t="s">
        <v>311</v>
      </c>
      <c r="C15" s="217">
        <v>30</v>
      </c>
      <c r="D15" s="221">
        <v>3000</v>
      </c>
      <c r="E15" s="221">
        <f>D15*C15</f>
        <v>90000</v>
      </c>
      <c r="G15" s="217"/>
      <c r="H15" s="217"/>
      <c r="I15" s="217"/>
      <c r="J15" s="217"/>
      <c r="K15" s="217"/>
    </row>
    <row r="16" spans="2:11" ht="12.75">
      <c r="B16" s="217"/>
      <c r="C16" s="217"/>
      <c r="D16" s="217"/>
      <c r="E16" s="221"/>
      <c r="G16" s="217"/>
      <c r="H16" s="217"/>
      <c r="I16" s="217"/>
      <c r="J16" s="217"/>
      <c r="K16" s="217"/>
    </row>
    <row r="17" spans="2:11" ht="12.75">
      <c r="B17" s="217"/>
      <c r="C17" s="217" t="s">
        <v>309</v>
      </c>
      <c r="D17" s="217"/>
      <c r="E17" s="221">
        <f>SUM(E11:E15)</f>
        <v>498000</v>
      </c>
      <c r="G17" s="217"/>
      <c r="H17" s="217"/>
      <c r="I17" s="217" t="s">
        <v>309</v>
      </c>
      <c r="J17" s="217"/>
      <c r="K17" s="221">
        <f>SUM(K8:K12)</f>
        <v>40000</v>
      </c>
    </row>
    <row r="18" spans="7:11" ht="12.75">
      <c r="G18" s="217"/>
      <c r="H18" s="217"/>
      <c r="I18" s="217"/>
      <c r="J18" s="217"/>
      <c r="K18" s="217"/>
    </row>
    <row r="19" spans="7:11" ht="12.75">
      <c r="G19" s="220"/>
      <c r="H19" s="217"/>
      <c r="I19" s="227" t="s">
        <v>315</v>
      </c>
      <c r="J19" s="217"/>
      <c r="K19" s="228">
        <f>K17+E17</f>
        <v>538000</v>
      </c>
    </row>
    <row r="20" spans="7:11" ht="12.75">
      <c r="G20" s="217"/>
      <c r="H20" s="217"/>
      <c r="I20" s="217" t="s">
        <v>318</v>
      </c>
      <c r="J20" s="217"/>
      <c r="K20" s="229">
        <f>K19/2</f>
        <v>269000</v>
      </c>
    </row>
    <row r="21" spans="7:11" ht="12.75">
      <c r="G21" s="217"/>
      <c r="H21" s="217"/>
      <c r="I21" s="217"/>
      <c r="J21" s="217"/>
      <c r="K21" s="217"/>
    </row>
    <row r="22" spans="7:11" ht="12.75">
      <c r="G22" s="217"/>
      <c r="H22" s="217"/>
      <c r="I22" s="227" t="s">
        <v>316</v>
      </c>
      <c r="J22" s="217"/>
      <c r="K22" s="229">
        <f>K19/D33</f>
        <v>7.614769230769231</v>
      </c>
    </row>
    <row r="23" spans="2:5" ht="12.75">
      <c r="B23" s="227" t="s">
        <v>288</v>
      </c>
      <c r="C23" s="217"/>
      <c r="D23" s="217"/>
      <c r="E23" s="217"/>
    </row>
    <row r="24" spans="2:5" ht="12.75">
      <c r="B24" s="217"/>
      <c r="C24" s="217"/>
      <c r="D24" s="217"/>
      <c r="E24" s="217"/>
    </row>
    <row r="25" spans="2:5" ht="12.75">
      <c r="B25" s="217"/>
      <c r="C25" s="217" t="s">
        <v>312</v>
      </c>
      <c r="D25" s="217">
        <v>6</v>
      </c>
      <c r="E25" s="217"/>
    </row>
    <row r="26" spans="2:5" ht="12.75">
      <c r="B26" s="217"/>
      <c r="C26" s="217" t="s">
        <v>310</v>
      </c>
      <c r="D26" s="230">
        <v>19500000</v>
      </c>
      <c r="E26" s="217"/>
    </row>
    <row r="27" spans="2:5" ht="12.75">
      <c r="B27" s="217"/>
      <c r="C27" s="217" t="s">
        <v>325</v>
      </c>
      <c r="D27" s="217">
        <v>23</v>
      </c>
      <c r="E27" s="217"/>
    </row>
    <row r="28" spans="2:5" ht="12.75">
      <c r="B28" s="217"/>
      <c r="C28" s="217"/>
      <c r="D28" s="217"/>
      <c r="E28" s="217"/>
    </row>
    <row r="29" spans="2:5" ht="12.75">
      <c r="B29" s="217"/>
      <c r="C29" s="217"/>
      <c r="D29" s="217"/>
      <c r="E29" s="217"/>
    </row>
    <row r="30" spans="2:5" ht="12.75">
      <c r="B30" s="217"/>
      <c r="C30" s="217" t="s">
        <v>317</v>
      </c>
      <c r="D30" s="217">
        <f>D26/D25/D27</f>
        <v>141304.34782608695</v>
      </c>
      <c r="E30" s="217"/>
    </row>
    <row r="31" spans="2:5" ht="12.75">
      <c r="B31" s="217"/>
      <c r="C31" s="217" t="s">
        <v>313</v>
      </c>
      <c r="D31" s="217">
        <v>2</v>
      </c>
      <c r="E31" s="217"/>
    </row>
    <row r="32" spans="2:5" ht="12.75">
      <c r="B32" s="217"/>
      <c r="C32" s="217"/>
      <c r="D32" s="217"/>
      <c r="E32" s="217"/>
    </row>
    <row r="33" spans="2:5" ht="12.75">
      <c r="B33" s="217"/>
      <c r="C33" s="217" t="s">
        <v>314</v>
      </c>
      <c r="D33" s="217">
        <f>D30/D31</f>
        <v>70652.17391304347</v>
      </c>
      <c r="E33" s="21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selection activeCell="A1" sqref="A1"/>
    </sheetView>
  </sheetViews>
  <sheetFormatPr defaultColWidth="8.8515625" defaultRowHeight="12.75"/>
  <cols>
    <col min="1" max="1" width="23.00390625" style="102" bestFit="1" customWidth="1"/>
    <col min="2" max="2" width="3.7109375" style="102" customWidth="1"/>
    <col min="3" max="3" width="9.421875" style="102" bestFit="1" customWidth="1"/>
    <col min="4" max="8" width="9.8515625" style="102" bestFit="1" customWidth="1"/>
    <col min="9" max="9" width="9.7109375" style="102" bestFit="1" customWidth="1"/>
    <col min="10" max="11" width="9.8515625" style="102" bestFit="1" customWidth="1"/>
    <col min="12" max="20" width="10.421875" style="102" bestFit="1" customWidth="1"/>
    <col min="21" max="21" width="10.57421875" style="102" bestFit="1" customWidth="1"/>
    <col min="22" max="22" width="11.8515625" style="102" bestFit="1" customWidth="1"/>
    <col min="23" max="23" width="12.00390625" style="102" bestFit="1" customWidth="1"/>
    <col min="24" max="24" width="11.8515625" style="102" bestFit="1" customWidth="1"/>
    <col min="25" max="16384" width="8.8515625" style="102" customWidth="1"/>
  </cols>
  <sheetData>
    <row r="1" spans="1:21" ht="12.75">
      <c r="A1" s="14" t="s">
        <v>320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2.7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106" customFormat="1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21:24" ht="12.75">
      <c r="U4" s="103" t="s">
        <v>295</v>
      </c>
      <c r="V4" s="215"/>
      <c r="W4" s="14"/>
      <c r="X4" s="14"/>
    </row>
    <row r="5" spans="3:24" s="1" customFormat="1" ht="12.75">
      <c r="C5" s="1" t="s">
        <v>260</v>
      </c>
      <c r="D5" s="1" t="s">
        <v>261</v>
      </c>
      <c r="E5" s="1" t="s">
        <v>262</v>
      </c>
      <c r="F5" s="1" t="s">
        <v>263</v>
      </c>
      <c r="G5" s="1" t="s">
        <v>264</v>
      </c>
      <c r="H5" s="1" t="s">
        <v>271</v>
      </c>
      <c r="I5" s="1" t="s">
        <v>265</v>
      </c>
      <c r="J5" s="1" t="s">
        <v>266</v>
      </c>
      <c r="K5" s="1" t="s">
        <v>267</v>
      </c>
      <c r="L5" s="1" t="s">
        <v>268</v>
      </c>
      <c r="M5" s="1" t="s">
        <v>269</v>
      </c>
      <c r="N5" s="1" t="s">
        <v>270</v>
      </c>
      <c r="O5" s="1" t="s">
        <v>272</v>
      </c>
      <c r="P5" s="1" t="s">
        <v>273</v>
      </c>
      <c r="Q5" s="1" t="s">
        <v>274</v>
      </c>
      <c r="R5" s="1" t="s">
        <v>275</v>
      </c>
      <c r="S5" s="1" t="s">
        <v>276</v>
      </c>
      <c r="T5" s="1" t="s">
        <v>277</v>
      </c>
      <c r="U5" s="1" t="s">
        <v>250</v>
      </c>
      <c r="V5" s="216" t="s">
        <v>147</v>
      </c>
      <c r="W5" s="216" t="s">
        <v>148</v>
      </c>
      <c r="X5" s="216" t="s">
        <v>149</v>
      </c>
    </row>
    <row r="6" spans="1:24" s="108" customFormat="1" ht="12.75">
      <c r="A6" s="108" t="s">
        <v>43</v>
      </c>
      <c r="C6" s="110">
        <f>Revenue!E39</f>
        <v>0</v>
      </c>
      <c r="D6" s="110">
        <f>Revenue!F39</f>
        <v>0</v>
      </c>
      <c r="E6" s="110">
        <f>Revenue!G39</f>
        <v>0</v>
      </c>
      <c r="F6" s="110">
        <f>Revenue!H39</f>
        <v>0</v>
      </c>
      <c r="G6" s="110">
        <f>Revenue!I39</f>
        <v>0</v>
      </c>
      <c r="H6" s="110">
        <f>Revenue!J39</f>
        <v>8000</v>
      </c>
      <c r="I6" s="110">
        <f>Revenue!L39</f>
        <v>10700</v>
      </c>
      <c r="J6" s="110">
        <f>Revenue!M39</f>
        <v>13940</v>
      </c>
      <c r="K6" s="110">
        <f>Revenue!N39</f>
        <v>17720</v>
      </c>
      <c r="L6" s="110">
        <f>Revenue!O39</f>
        <v>22040</v>
      </c>
      <c r="M6" s="110">
        <f>Revenue!P39</f>
        <v>26900</v>
      </c>
      <c r="N6" s="110">
        <f>Revenue!Q39</f>
        <v>32300</v>
      </c>
      <c r="O6" s="110">
        <f>Revenue!T39</f>
        <v>40940</v>
      </c>
      <c r="P6" s="110">
        <f>Revenue!U39</f>
        <v>47870</v>
      </c>
      <c r="Q6" s="110">
        <f>Revenue!V39</f>
        <v>55377.5</v>
      </c>
      <c r="R6" s="110">
        <f>Revenue!W39</f>
        <v>64000</v>
      </c>
      <c r="S6" s="110">
        <f>Revenue!X39</f>
        <v>73737.5</v>
      </c>
      <c r="T6" s="110">
        <f>Revenue!Y39</f>
        <v>85127.5</v>
      </c>
      <c r="U6" s="110">
        <f>Revenue!AB39</f>
        <v>1000005</v>
      </c>
      <c r="V6" s="110">
        <f>Revenue!AC39</f>
        <v>3655530</v>
      </c>
      <c r="W6" s="110">
        <f>Revenue!AD39</f>
        <v>7111530</v>
      </c>
      <c r="X6" s="110">
        <f>Revenue!AE39</f>
        <v>12622530</v>
      </c>
    </row>
    <row r="7" spans="1:24" s="108" customFormat="1" ht="12.75">
      <c r="A7" s="108" t="s">
        <v>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3:24" s="108" customFormat="1" ht="12.75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3:24" s="108" customFormat="1" ht="12.75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3:24" s="108" customFormat="1" ht="12.75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s="108" customFormat="1" ht="12.75">
      <c r="A11" s="108" t="s">
        <v>197</v>
      </c>
      <c r="C11" s="109">
        <f>Expenses!D21</f>
        <v>0</v>
      </c>
      <c r="D11" s="109">
        <f>Expenses!E21</f>
        <v>13727.5</v>
      </c>
      <c r="E11" s="109">
        <f>Expenses!F21</f>
        <v>3727.5</v>
      </c>
      <c r="F11" s="109">
        <f>Expenses!G21</f>
        <v>3727.5</v>
      </c>
      <c r="G11" s="109">
        <f>Expenses!H21</f>
        <v>3727.5</v>
      </c>
      <c r="H11" s="109">
        <f>Expenses!I21</f>
        <v>3727.5</v>
      </c>
      <c r="I11" s="109">
        <f>Expenses!J21</f>
        <v>13727.5</v>
      </c>
      <c r="J11" s="109">
        <f>Expenses!K21</f>
        <v>8727.5</v>
      </c>
      <c r="K11" s="109">
        <f>Expenses!L21</f>
        <v>8727.5</v>
      </c>
      <c r="L11" s="109">
        <f>Expenses!M21</f>
        <v>11212.5</v>
      </c>
      <c r="M11" s="109">
        <f>Expenses!N21</f>
        <v>11212.5</v>
      </c>
      <c r="N11" s="109">
        <f>Expenses!O21</f>
        <v>11212.5</v>
      </c>
      <c r="O11" s="109">
        <f>Expenses!P21</f>
        <v>24288.75</v>
      </c>
      <c r="P11" s="109">
        <f>Expenses!Q21</f>
        <v>19288.75</v>
      </c>
      <c r="Q11" s="109">
        <f>Expenses!R21</f>
        <v>19288.75</v>
      </c>
      <c r="R11" s="109">
        <f>Expenses!S21</f>
        <v>19288.75</v>
      </c>
      <c r="S11" s="109">
        <f>Expenses!T21</f>
        <v>19288.75</v>
      </c>
      <c r="T11" s="109">
        <f>Expenses!U21</f>
        <v>19288.75</v>
      </c>
      <c r="U11" s="109">
        <f>Expenses!V21</f>
        <v>109304.6875</v>
      </c>
      <c r="V11" s="109">
        <f>Expenses!W21</f>
        <v>617046.875</v>
      </c>
      <c r="W11" s="109">
        <f>Expenses!X21</f>
        <v>847010.9375</v>
      </c>
      <c r="X11" s="109">
        <f>Expenses!Y21</f>
        <v>1261853.125</v>
      </c>
    </row>
    <row r="12" spans="1:24" s="108" customFormat="1" ht="12.75">
      <c r="A12" s="108" t="s">
        <v>133</v>
      </c>
      <c r="C12" s="112">
        <f aca="true" t="shared" si="0" ref="C12:T12">IF(C$6=0,0,+C11/C$6)</f>
        <v>0</v>
      </c>
      <c r="D12" s="112">
        <f t="shared" si="0"/>
        <v>0</v>
      </c>
      <c r="E12" s="112">
        <f t="shared" si="0"/>
        <v>0</v>
      </c>
      <c r="F12" s="112">
        <f t="shared" si="0"/>
        <v>0</v>
      </c>
      <c r="G12" s="112">
        <f t="shared" si="0"/>
        <v>0</v>
      </c>
      <c r="H12" s="112">
        <f t="shared" si="0"/>
        <v>0.4659375</v>
      </c>
      <c r="I12" s="112">
        <f t="shared" si="0"/>
        <v>1.2829439252336448</v>
      </c>
      <c r="J12" s="112">
        <f t="shared" si="0"/>
        <v>0.6260760401721664</v>
      </c>
      <c r="K12" s="112">
        <f t="shared" si="0"/>
        <v>0.49252257336343114</v>
      </c>
      <c r="L12" s="112">
        <f t="shared" si="0"/>
        <v>0.5087341197822142</v>
      </c>
      <c r="M12" s="112">
        <f t="shared" si="0"/>
        <v>0.41682156133828996</v>
      </c>
      <c r="N12" s="112">
        <f t="shared" si="0"/>
        <v>0.34713622291021673</v>
      </c>
      <c r="O12" s="112">
        <f t="shared" si="0"/>
        <v>0.5932767464582316</v>
      </c>
      <c r="P12" s="112">
        <f t="shared" si="0"/>
        <v>0.4029402548569041</v>
      </c>
      <c r="Q12" s="112">
        <f t="shared" si="0"/>
        <v>0.3483138458760327</v>
      </c>
      <c r="R12" s="112">
        <f t="shared" si="0"/>
        <v>0.30138671875</v>
      </c>
      <c r="S12" s="112">
        <f t="shared" si="0"/>
        <v>0.2615867096117986</v>
      </c>
      <c r="T12" s="112">
        <f t="shared" si="0"/>
        <v>0.226586590702182</v>
      </c>
      <c r="U12" s="112">
        <f>IF(U$6=0,0,+U11/U$6)</f>
        <v>0.1093041409792951</v>
      </c>
      <c r="V12" s="112">
        <f>IF(V$6=0,0,+V11/V$6)</f>
        <v>0.16879819752539305</v>
      </c>
      <c r="W12" s="112">
        <f>IF(W$6=0,0,+W11/W$6)</f>
        <v>0.11910389712199766</v>
      </c>
      <c r="X12" s="112">
        <f>IF(X$6=0,0,+X11/X$6)</f>
        <v>0.09996832053478978</v>
      </c>
    </row>
    <row r="13" spans="3:24" s="108" customFormat="1" ht="12.75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108" customFormat="1" ht="12.75">
      <c r="A14" s="108" t="s">
        <v>172</v>
      </c>
      <c r="C14" s="109">
        <f>Expenses!D29</f>
        <v>0</v>
      </c>
      <c r="D14" s="109">
        <f>Expenses!E29</f>
        <v>0</v>
      </c>
      <c r="E14" s="109">
        <f>Expenses!F29</f>
        <v>0</v>
      </c>
      <c r="F14" s="109">
        <f>Expenses!G29</f>
        <v>0</v>
      </c>
      <c r="G14" s="109">
        <f>Expenses!H29</f>
        <v>0</v>
      </c>
      <c r="H14" s="109">
        <f>Expenses!I29</f>
        <v>0</v>
      </c>
      <c r="I14" s="109">
        <f>Expenses!J29</f>
        <v>0</v>
      </c>
      <c r="J14" s="109">
        <f>Expenses!K29</f>
        <v>0</v>
      </c>
      <c r="K14" s="109">
        <f>Expenses!L29</f>
        <v>0</v>
      </c>
      <c r="L14" s="109">
        <f>Expenses!M29</f>
        <v>0</v>
      </c>
      <c r="M14" s="109">
        <f>Expenses!N29</f>
        <v>0</v>
      </c>
      <c r="N14" s="109">
        <f>Expenses!O29</f>
        <v>0</v>
      </c>
      <c r="O14" s="109">
        <f>Expenses!P29</f>
        <v>6611.9375</v>
      </c>
      <c r="P14" s="109">
        <f>Expenses!Q29</f>
        <v>6611.9375</v>
      </c>
      <c r="Q14" s="109">
        <f>Expenses!R29</f>
        <v>6611.9375</v>
      </c>
      <c r="R14" s="109">
        <f>Expenses!S29</f>
        <v>6611.9375</v>
      </c>
      <c r="S14" s="109">
        <f>Expenses!T29</f>
        <v>6611.9375</v>
      </c>
      <c r="T14" s="109">
        <f>Expenses!U29</f>
        <v>6611.9375</v>
      </c>
      <c r="U14" s="109">
        <f>Expenses!V29</f>
        <v>39687.5</v>
      </c>
      <c r="V14" s="109">
        <f>Expenses!W29</f>
        <v>134937.5</v>
      </c>
      <c r="W14" s="109">
        <f>Expenses!X29</f>
        <v>415197.8515625</v>
      </c>
      <c r="X14" s="109">
        <f>Expenses!Y29</f>
        <v>611408.203125</v>
      </c>
    </row>
    <row r="15" spans="1:24" s="108" customFormat="1" ht="12.75">
      <c r="A15" s="108" t="s">
        <v>133</v>
      </c>
      <c r="C15" s="112">
        <f aca="true" t="shared" si="1" ref="C15:T15">IF(C$6=0,0,+C14/C$6)</f>
        <v>0</v>
      </c>
      <c r="D15" s="112">
        <f t="shared" si="1"/>
        <v>0</v>
      </c>
      <c r="E15" s="112">
        <f t="shared" si="1"/>
        <v>0</v>
      </c>
      <c r="F15" s="112">
        <f t="shared" si="1"/>
        <v>0</v>
      </c>
      <c r="G15" s="112">
        <f t="shared" si="1"/>
        <v>0</v>
      </c>
      <c r="H15" s="112">
        <f t="shared" si="1"/>
        <v>0</v>
      </c>
      <c r="I15" s="112">
        <f t="shared" si="1"/>
        <v>0</v>
      </c>
      <c r="J15" s="112">
        <f t="shared" si="1"/>
        <v>0</v>
      </c>
      <c r="K15" s="112">
        <f t="shared" si="1"/>
        <v>0</v>
      </c>
      <c r="L15" s="112">
        <f t="shared" si="1"/>
        <v>0</v>
      </c>
      <c r="M15" s="112">
        <f t="shared" si="1"/>
        <v>0</v>
      </c>
      <c r="N15" s="112">
        <f t="shared" si="1"/>
        <v>0</v>
      </c>
      <c r="O15" s="112">
        <f t="shared" si="1"/>
        <v>0.1615031143136297</v>
      </c>
      <c r="P15" s="112">
        <f t="shared" si="1"/>
        <v>0.13812278044704407</v>
      </c>
      <c r="Q15" s="112">
        <f t="shared" si="1"/>
        <v>0.11939754412893323</v>
      </c>
      <c r="R15" s="112">
        <f t="shared" si="1"/>
        <v>0.1033115234375</v>
      </c>
      <c r="S15" s="112">
        <f t="shared" si="1"/>
        <v>0.08966858789625361</v>
      </c>
      <c r="T15" s="112">
        <f t="shared" si="1"/>
        <v>0.0776709935097354</v>
      </c>
      <c r="U15" s="112">
        <f>IF(U$6=0,0,+U14/U$6)</f>
        <v>0.039687301563492185</v>
      </c>
      <c r="V15" s="112">
        <f>IF(V$6=0,0,+V14/V$6)</f>
        <v>0.03691325197714148</v>
      </c>
      <c r="W15" s="112">
        <f>IF(W$6=0,0,+W14/W$6)</f>
        <v>0.058383758707690185</v>
      </c>
      <c r="X15" s="112">
        <f>IF(X$6=0,0,+X14/X$6)</f>
        <v>0.04843784907819589</v>
      </c>
    </row>
    <row r="16" spans="3:24" s="108" customFormat="1" ht="12.75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108" customFormat="1" ht="12.75">
      <c r="A17" s="108" t="s">
        <v>204</v>
      </c>
      <c r="C17" s="109">
        <f>Expenses!D54</f>
        <v>14440</v>
      </c>
      <c r="D17" s="109">
        <f>Expenses!E54</f>
        <v>17444.4</v>
      </c>
      <c r="E17" s="109">
        <f>Expenses!F54</f>
        <v>17444.4</v>
      </c>
      <c r="F17" s="109">
        <f>Expenses!G54</f>
        <v>17444.4</v>
      </c>
      <c r="G17" s="109">
        <f>Expenses!H54</f>
        <v>17444.4</v>
      </c>
      <c r="H17" s="109">
        <f>Expenses!I54</f>
        <v>17444.4</v>
      </c>
      <c r="I17" s="109">
        <f>Expenses!J54</f>
        <v>22344.4</v>
      </c>
      <c r="J17" s="109">
        <f>Expenses!K54</f>
        <v>22344.4</v>
      </c>
      <c r="K17" s="109">
        <f>Expenses!L54</f>
        <v>22344.4</v>
      </c>
      <c r="L17" s="109">
        <f>Expenses!M54</f>
        <v>27244.4</v>
      </c>
      <c r="M17" s="109">
        <f>Expenses!N54</f>
        <v>27244.4</v>
      </c>
      <c r="N17" s="109">
        <f>Expenses!O54</f>
        <v>27244.4</v>
      </c>
      <c r="O17" s="109">
        <f>Expenses!P54</f>
        <v>47465.78125</v>
      </c>
      <c r="P17" s="109">
        <f>Expenses!Q54</f>
        <v>47465.78125</v>
      </c>
      <c r="Q17" s="109">
        <f>Expenses!R54</f>
        <v>47465.78125</v>
      </c>
      <c r="R17" s="109">
        <f>Expenses!S54</f>
        <v>47465.78125</v>
      </c>
      <c r="S17" s="109">
        <f>Expenses!T54</f>
        <v>47465.78125</v>
      </c>
      <c r="T17" s="109">
        <f>Expenses!U54</f>
        <v>47465.78125</v>
      </c>
      <c r="U17" s="109">
        <f>Expenses!V54</f>
        <v>322406.25</v>
      </c>
      <c r="V17" s="109">
        <f>Expenses!W54</f>
        <v>1009812.5</v>
      </c>
      <c r="W17" s="109">
        <f>Expenses!X54</f>
        <v>937908.59375</v>
      </c>
      <c r="X17" s="109">
        <f>Expenses!Y54</f>
        <v>1341424.21875</v>
      </c>
    </row>
    <row r="18" spans="1:24" s="108" customFormat="1" ht="12.75">
      <c r="A18" s="108" t="s">
        <v>133</v>
      </c>
      <c r="C18" s="112">
        <f aca="true" t="shared" si="2" ref="C18:T18">IF(C$6=0,0,+C17/C$6)</f>
        <v>0</v>
      </c>
      <c r="D18" s="112">
        <f t="shared" si="2"/>
        <v>0</v>
      </c>
      <c r="E18" s="112">
        <f t="shared" si="2"/>
        <v>0</v>
      </c>
      <c r="F18" s="112">
        <f t="shared" si="2"/>
        <v>0</v>
      </c>
      <c r="G18" s="112">
        <f t="shared" si="2"/>
        <v>0</v>
      </c>
      <c r="H18" s="112">
        <f t="shared" si="2"/>
        <v>2.18055</v>
      </c>
      <c r="I18" s="112">
        <f t="shared" si="2"/>
        <v>2.0882616822429907</v>
      </c>
      <c r="J18" s="112">
        <f t="shared" si="2"/>
        <v>1.6028981348637017</v>
      </c>
      <c r="K18" s="112">
        <f t="shared" si="2"/>
        <v>1.2609706546275397</v>
      </c>
      <c r="L18" s="112">
        <f t="shared" si="2"/>
        <v>1.2361343012704176</v>
      </c>
      <c r="M18" s="112">
        <f t="shared" si="2"/>
        <v>1.0128029739776951</v>
      </c>
      <c r="N18" s="112">
        <f t="shared" si="2"/>
        <v>0.8434798761609907</v>
      </c>
      <c r="O18" s="112">
        <f t="shared" si="2"/>
        <v>1.1593986626770885</v>
      </c>
      <c r="P18" s="112">
        <f t="shared" si="2"/>
        <v>0.9915559066221016</v>
      </c>
      <c r="Q18" s="112">
        <f t="shared" si="2"/>
        <v>0.8571311678930974</v>
      </c>
      <c r="R18" s="112">
        <f t="shared" si="2"/>
        <v>0.74165283203125</v>
      </c>
      <c r="S18" s="112">
        <f t="shared" si="2"/>
        <v>0.6437129174436346</v>
      </c>
      <c r="T18" s="112">
        <f t="shared" si="2"/>
        <v>0.5575845790138322</v>
      </c>
      <c r="U18" s="112">
        <f>IF(U$6=0,0,+U17/U$6)</f>
        <v>0.3224046379768101</v>
      </c>
      <c r="V18" s="112">
        <f>IF(V$6=0,0,+V17/V$6)</f>
        <v>0.27624243269785775</v>
      </c>
      <c r="W18" s="112">
        <f>IF(W$6=0,0,+W17/W$6)</f>
        <v>0.1318856271083719</v>
      </c>
      <c r="X18" s="112">
        <f>IF(X$6=0,0,+X17/X$6)</f>
        <v>0.10627221474221095</v>
      </c>
    </row>
    <row r="19" spans="3:24" s="108" customFormat="1" ht="12.75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108" customFormat="1" ht="12.75">
      <c r="A20" s="108" t="s">
        <v>10</v>
      </c>
      <c r="C20" s="109">
        <f>Expenses!D12+Expenses!D46+Expenses!D37+Expenses!D69+Expenses!D70+Expenses!D78</f>
        <v>4795</v>
      </c>
      <c r="D20" s="109">
        <f>Expenses!E12+Expenses!E46+Expenses!E37+Expenses!E69+Expenses!E70+Expenses!E78</f>
        <v>7302.5</v>
      </c>
      <c r="E20" s="109">
        <f>Expenses!F12+Expenses!F46+Expenses!F37+Expenses!F69+Expenses!F70+Expenses!F78</f>
        <v>7302.5</v>
      </c>
      <c r="F20" s="109">
        <f>Expenses!G12+Expenses!G46+Expenses!G37+Expenses!G69+Expenses!G70+Expenses!G78</f>
        <v>7302.5</v>
      </c>
      <c r="G20" s="109">
        <f>Expenses!H12+Expenses!H46+Expenses!H37+Expenses!H69+Expenses!H70+Expenses!H78</f>
        <v>7302.5</v>
      </c>
      <c r="H20" s="109">
        <f>Expenses!I12+Expenses!I46+Expenses!I37+Expenses!I69+Expenses!I70+Expenses!I78</f>
        <v>7302.5</v>
      </c>
      <c r="I20" s="109">
        <f>Expenses!J12+Expenses!J46+Expenses!J37+Expenses!J69+Expenses!J70+Expenses!J78</f>
        <v>27145</v>
      </c>
      <c r="J20" s="109">
        <f>Expenses!K12+Expenses!K46+Expenses!K37+Expenses!K69+Expenses!K70+Expenses!K78</f>
        <v>27186.666666666668</v>
      </c>
      <c r="K20" s="109">
        <f>Expenses!L12+Expenses!L46+Expenses!L37+Expenses!L69+Expenses!L70+Expenses!L78</f>
        <v>27228.333333333332</v>
      </c>
      <c r="L20" s="109">
        <f>Expenses!M12+Expenses!M46+Expenses!M37+Expenses!M69+Expenses!M70+Expenses!M78</f>
        <v>31950</v>
      </c>
      <c r="M20" s="109">
        <f>Expenses!N12+Expenses!N46+Expenses!N37+Expenses!N69+Expenses!N70+Expenses!N78</f>
        <v>31991.666666666668</v>
      </c>
      <c r="N20" s="109">
        <f>Expenses!O12+Expenses!O46+Expenses!O37+Expenses!O69+Expenses!O70+Expenses!O78</f>
        <v>32033.333333333332</v>
      </c>
      <c r="O20" s="109">
        <f>Expenses!P12+Expenses!P46+Expenses!P37+Expenses!P69+Expenses!P70+Expenses!P78</f>
        <v>61027.895833333336</v>
      </c>
      <c r="P20" s="109">
        <f>Expenses!Q12+Expenses!Q46+Expenses!Q37+Expenses!Q69+Expenses!Q70+Expenses!Q78</f>
        <v>61069.5625</v>
      </c>
      <c r="Q20" s="109">
        <f>Expenses!R12+Expenses!R46+Expenses!R37+Expenses!R69+Expenses!R70+Expenses!R78</f>
        <v>61111.229166666664</v>
      </c>
      <c r="R20" s="109">
        <f>Expenses!S12+Expenses!S46+Expenses!S37+Expenses!S69+Expenses!S70+Expenses!S78</f>
        <v>61152.895833333336</v>
      </c>
      <c r="S20" s="109">
        <f>Expenses!T12+Expenses!T46+Expenses!T37+Expenses!T69+Expenses!T70+Expenses!T78</f>
        <v>61194.5625</v>
      </c>
      <c r="T20" s="109">
        <f>Expenses!U12+Expenses!U46+Expenses!U37+Expenses!U69+Expenses!U70+Expenses!U78</f>
        <v>61236.229166666664</v>
      </c>
      <c r="U20" s="109">
        <f>Expenses!V12+Expenses!V46+Expenses!V37+Expenses!V69+Expenses!V70+Expenses!V78</f>
        <v>345104.1666666667</v>
      </c>
      <c r="V20" s="109">
        <f>Expenses!W12+Expenses!W46+Expenses!W37+Expenses!W69+Expenses!W70+Expenses!W78</f>
        <v>922979.1666666666</v>
      </c>
      <c r="W20" s="109">
        <f>Expenses!X78+Expenses!X69+Expenses!X70+Expenses!X46+Expenses!X37+Expenses!X12</f>
        <v>1125323.0143229165</v>
      </c>
      <c r="X20" s="109">
        <f>Expenses!Y12+Expenses!Y37+Expenses!Y46+Expenses!Y69+Expenses!Y70+Expenses!Y78</f>
        <v>1362228.7760416667</v>
      </c>
    </row>
    <row r="21" spans="1:24" s="108" customFormat="1" ht="12.75">
      <c r="A21" s="108" t="s">
        <v>133</v>
      </c>
      <c r="C21" s="112">
        <f aca="true" t="shared" si="3" ref="C21:T21">IF(C$6=0,0,+C20/C$6)</f>
        <v>0</v>
      </c>
      <c r="D21" s="112">
        <f t="shared" si="3"/>
        <v>0</v>
      </c>
      <c r="E21" s="112">
        <f t="shared" si="3"/>
        <v>0</v>
      </c>
      <c r="F21" s="112">
        <f t="shared" si="3"/>
        <v>0</v>
      </c>
      <c r="G21" s="112">
        <f t="shared" si="3"/>
        <v>0</v>
      </c>
      <c r="H21" s="112">
        <f t="shared" si="3"/>
        <v>0.9128125</v>
      </c>
      <c r="I21" s="112">
        <f t="shared" si="3"/>
        <v>2.5369158878504674</v>
      </c>
      <c r="J21" s="112">
        <f t="shared" si="3"/>
        <v>1.9502630320420853</v>
      </c>
      <c r="K21" s="112">
        <f t="shared" si="3"/>
        <v>1.5365876598946575</v>
      </c>
      <c r="L21" s="112">
        <f t="shared" si="3"/>
        <v>1.4496370235934664</v>
      </c>
      <c r="M21" s="112">
        <f t="shared" si="3"/>
        <v>1.189281288723668</v>
      </c>
      <c r="N21" s="112">
        <f t="shared" si="3"/>
        <v>0.9917440660474716</v>
      </c>
      <c r="O21" s="112">
        <f t="shared" si="3"/>
        <v>1.4906667277316399</v>
      </c>
      <c r="P21" s="112">
        <f t="shared" si="3"/>
        <v>1.2757376749529976</v>
      </c>
      <c r="Q21" s="112">
        <f t="shared" si="3"/>
        <v>1.1035389673904865</v>
      </c>
      <c r="R21" s="112">
        <f t="shared" si="3"/>
        <v>0.9555139973958334</v>
      </c>
      <c r="S21" s="112">
        <f t="shared" si="3"/>
        <v>0.8298974402441092</v>
      </c>
      <c r="T21" s="112">
        <f t="shared" si="3"/>
        <v>0.7193472046831713</v>
      </c>
      <c r="U21" s="112">
        <f>IF(U$6=0,0,+U20/U$6)</f>
        <v>0.3451024411544609</v>
      </c>
      <c r="V21" s="112">
        <f>IF(V$6=0,0,+V20/V$6)</f>
        <v>0.25248846724460383</v>
      </c>
      <c r="W21" s="112">
        <f>IF(W$6=0,0,+W20/W$6)</f>
        <v>0.15823922760965875</v>
      </c>
      <c r="X21" s="112">
        <f>IF(X$6=0,0,+X20/X$6)</f>
        <v>0.10792042292960814</v>
      </c>
    </row>
    <row r="22" spans="3:24" s="108" customFormat="1" ht="12.75"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108" customFormat="1" ht="12.75">
      <c r="A23" s="108" t="s">
        <v>134</v>
      </c>
      <c r="C23" s="109">
        <f aca="true" t="shared" si="4" ref="C23:T23">C11+C14+C20+C17+C9</f>
        <v>19235</v>
      </c>
      <c r="D23" s="109">
        <f t="shared" si="4"/>
        <v>38474.4</v>
      </c>
      <c r="E23" s="109">
        <f t="shared" si="4"/>
        <v>28474.4</v>
      </c>
      <c r="F23" s="109">
        <f t="shared" si="4"/>
        <v>28474.4</v>
      </c>
      <c r="G23" s="109">
        <f t="shared" si="4"/>
        <v>28474.4</v>
      </c>
      <c r="H23" s="109">
        <f t="shared" si="4"/>
        <v>28474.4</v>
      </c>
      <c r="I23" s="109">
        <f t="shared" si="4"/>
        <v>63216.9</v>
      </c>
      <c r="J23" s="109">
        <f t="shared" si="4"/>
        <v>58258.56666666667</v>
      </c>
      <c r="K23" s="109">
        <f t="shared" si="4"/>
        <v>58300.23333333333</v>
      </c>
      <c r="L23" s="109">
        <f t="shared" si="4"/>
        <v>70406.9</v>
      </c>
      <c r="M23" s="109">
        <f t="shared" si="4"/>
        <v>70448.56666666668</v>
      </c>
      <c r="N23" s="109">
        <f t="shared" si="4"/>
        <v>70490.23333333334</v>
      </c>
      <c r="O23" s="109">
        <f t="shared" si="4"/>
        <v>139394.36458333334</v>
      </c>
      <c r="P23" s="109">
        <f t="shared" si="4"/>
        <v>134436.03125</v>
      </c>
      <c r="Q23" s="109">
        <f t="shared" si="4"/>
        <v>134477.69791666666</v>
      </c>
      <c r="R23" s="109">
        <f t="shared" si="4"/>
        <v>134519.36458333334</v>
      </c>
      <c r="S23" s="109">
        <f t="shared" si="4"/>
        <v>134561.03125</v>
      </c>
      <c r="T23" s="109">
        <f t="shared" si="4"/>
        <v>134602.69791666666</v>
      </c>
      <c r="U23" s="109">
        <f>U11+U14+U20+U17+U9</f>
        <v>816502.6041666667</v>
      </c>
      <c r="V23" s="109">
        <f>V11+V14+V20+V17+V9</f>
        <v>2684776.0416666665</v>
      </c>
      <c r="W23" s="109">
        <f>W11+W14+W20+W17+W9</f>
        <v>3325440.3971354165</v>
      </c>
      <c r="X23" s="109">
        <f>X11+X14+X20+X17+X9</f>
        <v>4576914.322916667</v>
      </c>
    </row>
    <row r="24" spans="1:24" s="108" customFormat="1" ht="12.75">
      <c r="A24" s="108" t="s">
        <v>133</v>
      </c>
      <c r="C24" s="112">
        <f aca="true" t="shared" si="5" ref="C24:T24">IF(C$6=0,0,+C23/C$6)</f>
        <v>0</v>
      </c>
      <c r="D24" s="112">
        <f t="shared" si="5"/>
        <v>0</v>
      </c>
      <c r="E24" s="112">
        <f t="shared" si="5"/>
        <v>0</v>
      </c>
      <c r="F24" s="112">
        <f t="shared" si="5"/>
        <v>0</v>
      </c>
      <c r="G24" s="112">
        <f t="shared" si="5"/>
        <v>0</v>
      </c>
      <c r="H24" s="112">
        <f t="shared" si="5"/>
        <v>3.5593000000000004</v>
      </c>
      <c r="I24" s="112">
        <f t="shared" si="5"/>
        <v>5.908121495327103</v>
      </c>
      <c r="J24" s="112">
        <f t="shared" si="5"/>
        <v>4.1792372070779535</v>
      </c>
      <c r="K24" s="112">
        <f t="shared" si="5"/>
        <v>3.2900808878856282</v>
      </c>
      <c r="L24" s="112">
        <f t="shared" si="5"/>
        <v>3.1945054446460976</v>
      </c>
      <c r="M24" s="112">
        <f t="shared" si="5"/>
        <v>2.6189058240396537</v>
      </c>
      <c r="N24" s="112">
        <f t="shared" si="5"/>
        <v>2.1823601651186793</v>
      </c>
      <c r="O24" s="112">
        <f t="shared" si="5"/>
        <v>3.4048452511805896</v>
      </c>
      <c r="P24" s="112">
        <f t="shared" si="5"/>
        <v>2.8083566168790473</v>
      </c>
      <c r="Q24" s="112">
        <f t="shared" si="5"/>
        <v>2.4283815252885494</v>
      </c>
      <c r="R24" s="112">
        <f t="shared" si="5"/>
        <v>2.1018650716145837</v>
      </c>
      <c r="S24" s="112">
        <f t="shared" si="5"/>
        <v>1.8248656551957958</v>
      </c>
      <c r="T24" s="112">
        <f t="shared" si="5"/>
        <v>1.5811893679089208</v>
      </c>
      <c r="U24" s="112">
        <f>IF(U$6=0,0,+U23/U$6)</f>
        <v>0.8164985216740583</v>
      </c>
      <c r="V24" s="112">
        <f>IF(V$6=0,0,+V23/V$6)</f>
        <v>0.7344423494449961</v>
      </c>
      <c r="W24" s="112">
        <f>IF(W$6=0,0,+W23/W$6)</f>
        <v>0.4676125105477185</v>
      </c>
      <c r="X24" s="112">
        <f>IF(X$6=0,0,+X23/X$6)</f>
        <v>0.3625988072848048</v>
      </c>
    </row>
    <row r="25" spans="3:24" s="108" customFormat="1" ht="12.75"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s="108" customFormat="1" ht="12.75">
      <c r="A26" s="108" t="s">
        <v>135</v>
      </c>
      <c r="C26" s="109">
        <f aca="true" t="shared" si="6" ref="C26:T26">C6-C23</f>
        <v>-19235</v>
      </c>
      <c r="D26" s="109">
        <f t="shared" si="6"/>
        <v>-38474.4</v>
      </c>
      <c r="E26" s="109">
        <f t="shared" si="6"/>
        <v>-28474.4</v>
      </c>
      <c r="F26" s="109">
        <f t="shared" si="6"/>
        <v>-28474.4</v>
      </c>
      <c r="G26" s="109">
        <f t="shared" si="6"/>
        <v>-28474.4</v>
      </c>
      <c r="H26" s="109">
        <f t="shared" si="6"/>
        <v>-20474.4</v>
      </c>
      <c r="I26" s="109">
        <f t="shared" si="6"/>
        <v>-52516.9</v>
      </c>
      <c r="J26" s="109">
        <f t="shared" si="6"/>
        <v>-44318.56666666667</v>
      </c>
      <c r="K26" s="109">
        <f t="shared" si="6"/>
        <v>-40580.23333333333</v>
      </c>
      <c r="L26" s="109">
        <f t="shared" si="6"/>
        <v>-48366.899999999994</v>
      </c>
      <c r="M26" s="109">
        <f t="shared" si="6"/>
        <v>-43548.56666666668</v>
      </c>
      <c r="N26" s="109">
        <f t="shared" si="6"/>
        <v>-38190.23333333334</v>
      </c>
      <c r="O26" s="109">
        <f t="shared" si="6"/>
        <v>-98454.36458333334</v>
      </c>
      <c r="P26" s="109">
        <f t="shared" si="6"/>
        <v>-86566.03125</v>
      </c>
      <c r="Q26" s="109">
        <f t="shared" si="6"/>
        <v>-79100.19791666666</v>
      </c>
      <c r="R26" s="109">
        <f t="shared" si="6"/>
        <v>-70519.36458333334</v>
      </c>
      <c r="S26" s="109">
        <f t="shared" si="6"/>
        <v>-60823.53125</v>
      </c>
      <c r="T26" s="109">
        <f t="shared" si="6"/>
        <v>-49475.19791666666</v>
      </c>
      <c r="U26" s="109">
        <f>U6-U23</f>
        <v>183502.39583333326</v>
      </c>
      <c r="V26" s="109">
        <f>V6-V23</f>
        <v>970753.9583333335</v>
      </c>
      <c r="W26" s="109">
        <f>W6-W23</f>
        <v>3786089.6028645835</v>
      </c>
      <c r="X26" s="109">
        <f>X6-X23</f>
        <v>8045615.677083333</v>
      </c>
    </row>
    <row r="27" spans="1:24" s="108" customFormat="1" ht="12.75">
      <c r="A27" s="108" t="s">
        <v>133</v>
      </c>
      <c r="C27" s="113">
        <f aca="true" t="shared" si="7" ref="C27:T27">IF(C$6=0,0,+C26/C$6)</f>
        <v>0</v>
      </c>
      <c r="D27" s="113">
        <f t="shared" si="7"/>
        <v>0</v>
      </c>
      <c r="E27" s="113">
        <f t="shared" si="7"/>
        <v>0</v>
      </c>
      <c r="F27" s="113">
        <f t="shared" si="7"/>
        <v>0</v>
      </c>
      <c r="G27" s="113">
        <f t="shared" si="7"/>
        <v>0</v>
      </c>
      <c r="H27" s="113">
        <f t="shared" si="7"/>
        <v>-2.5593000000000004</v>
      </c>
      <c r="I27" s="113">
        <f t="shared" si="7"/>
        <v>-4.908121495327103</v>
      </c>
      <c r="J27" s="113">
        <f t="shared" si="7"/>
        <v>-3.1792372070779535</v>
      </c>
      <c r="K27" s="113">
        <f t="shared" si="7"/>
        <v>-2.2900808878856282</v>
      </c>
      <c r="L27" s="113">
        <f t="shared" si="7"/>
        <v>-2.1945054446460976</v>
      </c>
      <c r="M27" s="113">
        <f t="shared" si="7"/>
        <v>-1.6189058240396534</v>
      </c>
      <c r="N27" s="113">
        <f t="shared" si="7"/>
        <v>-1.1823601651186793</v>
      </c>
      <c r="O27" s="113">
        <f t="shared" si="7"/>
        <v>-2.4048452511805896</v>
      </c>
      <c r="P27" s="113">
        <f t="shared" si="7"/>
        <v>-1.8083566168790475</v>
      </c>
      <c r="Q27" s="113">
        <f t="shared" si="7"/>
        <v>-1.4283815252885497</v>
      </c>
      <c r="R27" s="113">
        <f t="shared" si="7"/>
        <v>-1.1018650716145835</v>
      </c>
      <c r="S27" s="113">
        <f t="shared" si="7"/>
        <v>-0.8248656551957959</v>
      </c>
      <c r="T27" s="113">
        <f t="shared" si="7"/>
        <v>-0.5811893679089208</v>
      </c>
      <c r="U27" s="113">
        <f>IF(U$6=0,0,+U26/U$6)</f>
        <v>0.18350147832594163</v>
      </c>
      <c r="V27" s="113">
        <f>IF(V$6=0,0,+V26/V$6)</f>
        <v>0.2655576505550039</v>
      </c>
      <c r="W27" s="113">
        <f>IF(W$6=0,0,+W26/W$6)</f>
        <v>0.5323874894522815</v>
      </c>
      <c r="X27" s="113">
        <f>IF(X$6=0,0,+X26/X$6)</f>
        <v>0.6374011927151952</v>
      </c>
    </row>
    <row r="28" spans="22:24" s="108" customFormat="1" ht="12.75">
      <c r="V28" s="11"/>
      <c r="W28" s="11"/>
      <c r="X28" s="11"/>
    </row>
    <row r="29" spans="1:24" s="108" customFormat="1" ht="12.75">
      <c r="A29" s="108" t="s">
        <v>12</v>
      </c>
      <c r="V29" s="152"/>
      <c r="W29" s="11">
        <f>'Cash Flow'!V30*0.12</f>
        <v>0</v>
      </c>
      <c r="X29" s="11">
        <f>'Cash Flow'!W30*0.12</f>
        <v>0</v>
      </c>
    </row>
    <row r="30" spans="22:24" s="108" customFormat="1" ht="12.75">
      <c r="V30" s="11"/>
      <c r="W30" s="11"/>
      <c r="X30" s="11"/>
    </row>
    <row r="31" spans="1:24" s="108" customFormat="1" ht="12.75">
      <c r="A31" s="108" t="s">
        <v>8</v>
      </c>
      <c r="C31" s="11">
        <f aca="true" t="shared" si="8" ref="C31:T31">C26*0.35</f>
        <v>-6732.25</v>
      </c>
      <c r="D31" s="11">
        <f t="shared" si="8"/>
        <v>-13466.039999999999</v>
      </c>
      <c r="E31" s="11">
        <f t="shared" si="8"/>
        <v>-9966.039999999999</v>
      </c>
      <c r="F31" s="11">
        <f t="shared" si="8"/>
        <v>-9966.039999999999</v>
      </c>
      <c r="G31" s="11">
        <f t="shared" si="8"/>
        <v>-9966.039999999999</v>
      </c>
      <c r="H31" s="11">
        <f t="shared" si="8"/>
        <v>-7166.04</v>
      </c>
      <c r="I31" s="11">
        <f t="shared" si="8"/>
        <v>-18380.915</v>
      </c>
      <c r="J31" s="11">
        <f t="shared" si="8"/>
        <v>-15511.498333333335</v>
      </c>
      <c r="K31" s="11">
        <f t="shared" si="8"/>
        <v>-14203.081666666665</v>
      </c>
      <c r="L31" s="11">
        <f t="shared" si="8"/>
        <v>-16928.414999999997</v>
      </c>
      <c r="M31" s="11">
        <f t="shared" si="8"/>
        <v>-15241.998333333337</v>
      </c>
      <c r="N31" s="11">
        <f t="shared" si="8"/>
        <v>-13366.581666666667</v>
      </c>
      <c r="O31" s="11">
        <f t="shared" si="8"/>
        <v>-34459.027604166666</v>
      </c>
      <c r="P31" s="11">
        <f t="shared" si="8"/>
        <v>-30298.110937499998</v>
      </c>
      <c r="Q31" s="11">
        <f t="shared" si="8"/>
        <v>-27685.06927083333</v>
      </c>
      <c r="R31" s="11">
        <f t="shared" si="8"/>
        <v>-24681.77760416667</v>
      </c>
      <c r="S31" s="11">
        <f t="shared" si="8"/>
        <v>-21288.235937499998</v>
      </c>
      <c r="T31" s="11">
        <f t="shared" si="8"/>
        <v>-17316.31927083333</v>
      </c>
      <c r="U31" s="11">
        <f>U26*0.35</f>
        <v>64225.838541666635</v>
      </c>
      <c r="V31" s="11">
        <f>V26*0.35</f>
        <v>339763.8854166667</v>
      </c>
      <c r="W31" s="11">
        <f>W26*0.35</f>
        <v>1325131.3610026042</v>
      </c>
      <c r="X31" s="11">
        <f>X26*0.35</f>
        <v>2815965.4869791665</v>
      </c>
    </row>
    <row r="32" spans="21:24" s="108" customFormat="1" ht="12.75">
      <c r="U32" s="11"/>
      <c r="V32" s="11"/>
      <c r="W32" s="11"/>
      <c r="X32" s="11"/>
    </row>
    <row r="33" spans="1:24" s="108" customFormat="1" ht="13.5" thickBot="1">
      <c r="A33" s="108" t="s">
        <v>9</v>
      </c>
      <c r="C33" s="185">
        <f aca="true" t="shared" si="9" ref="C33:T33">C26-C31</f>
        <v>-12502.75</v>
      </c>
      <c r="D33" s="185">
        <f t="shared" si="9"/>
        <v>-25008.36</v>
      </c>
      <c r="E33" s="185">
        <f t="shared" si="9"/>
        <v>-18508.36</v>
      </c>
      <c r="F33" s="185">
        <f t="shared" si="9"/>
        <v>-18508.36</v>
      </c>
      <c r="G33" s="185">
        <f t="shared" si="9"/>
        <v>-18508.36</v>
      </c>
      <c r="H33" s="185">
        <f t="shared" si="9"/>
        <v>-13308.36</v>
      </c>
      <c r="I33" s="185">
        <f t="shared" si="9"/>
        <v>-34135.985</v>
      </c>
      <c r="J33" s="185">
        <f t="shared" si="9"/>
        <v>-28807.068333333336</v>
      </c>
      <c r="K33" s="185">
        <f t="shared" si="9"/>
        <v>-26377.151666666665</v>
      </c>
      <c r="L33" s="185">
        <f t="shared" si="9"/>
        <v>-31438.484999999997</v>
      </c>
      <c r="M33" s="185">
        <f t="shared" si="9"/>
        <v>-28306.568333333344</v>
      </c>
      <c r="N33" s="185">
        <f t="shared" si="9"/>
        <v>-24823.651666666672</v>
      </c>
      <c r="O33" s="185">
        <f t="shared" si="9"/>
        <v>-63995.33697916668</v>
      </c>
      <c r="P33" s="185">
        <f t="shared" si="9"/>
        <v>-56267.920312500006</v>
      </c>
      <c r="Q33" s="185">
        <f t="shared" si="9"/>
        <v>-51415.12864583333</v>
      </c>
      <c r="R33" s="185">
        <f t="shared" si="9"/>
        <v>-45837.58697916668</v>
      </c>
      <c r="S33" s="185">
        <f t="shared" si="9"/>
        <v>-39535.295312500006</v>
      </c>
      <c r="T33" s="185">
        <f t="shared" si="9"/>
        <v>-32158.878645833327</v>
      </c>
      <c r="U33" s="185">
        <f>U26-U31</f>
        <v>119276.55729166663</v>
      </c>
      <c r="V33" s="185">
        <f>V26-V31</f>
        <v>630990.0729166667</v>
      </c>
      <c r="W33" s="185">
        <f>W26-W31-W29</f>
        <v>2460958.2418619795</v>
      </c>
      <c r="X33" s="185">
        <f>X26-X31-X29</f>
        <v>5229650.190104166</v>
      </c>
    </row>
    <row r="34" spans="3:24" s="108" customFormat="1" ht="13.5" thickTop="1">
      <c r="C34" s="114"/>
      <c r="D34" s="114"/>
      <c r="E34" s="114"/>
      <c r="F34" s="114"/>
      <c r="G34" s="114"/>
      <c r="H34" s="114">
        <f aca="true" t="shared" si="10" ref="H34:S34">H33/H6</f>
        <v>-1.663545</v>
      </c>
      <c r="I34" s="114">
        <f t="shared" si="10"/>
        <v>-3.190278971962617</v>
      </c>
      <c r="J34" s="114">
        <f t="shared" si="10"/>
        <v>-2.0665041846006695</v>
      </c>
      <c r="K34" s="114">
        <f t="shared" si="10"/>
        <v>-1.4885525771256582</v>
      </c>
      <c r="L34" s="114">
        <f t="shared" si="10"/>
        <v>-1.4264285390199636</v>
      </c>
      <c r="M34" s="114">
        <f t="shared" si="10"/>
        <v>-1.0522887856257748</v>
      </c>
      <c r="N34" s="114">
        <f t="shared" si="10"/>
        <v>-0.7685341073271416</v>
      </c>
      <c r="O34" s="114">
        <f t="shared" si="10"/>
        <v>-1.5631494132673833</v>
      </c>
      <c r="P34" s="114">
        <f t="shared" si="10"/>
        <v>-1.175431800971381</v>
      </c>
      <c r="Q34" s="114">
        <f t="shared" si="10"/>
        <v>-0.9284479914375573</v>
      </c>
      <c r="R34" s="114">
        <f t="shared" si="10"/>
        <v>-0.7162122965494794</v>
      </c>
      <c r="S34" s="114">
        <f t="shared" si="10"/>
        <v>-0.5361626758772674</v>
      </c>
      <c r="T34" s="114">
        <f>T33/T6</f>
        <v>-0.37777308914079855</v>
      </c>
      <c r="U34" s="114">
        <f>U33/U6</f>
        <v>0.11927596091186207</v>
      </c>
      <c r="V34" s="114">
        <f>V33/V6</f>
        <v>0.17261247286075254</v>
      </c>
      <c r="W34" s="114">
        <f>W33/W6</f>
        <v>0.34605186814398303</v>
      </c>
      <c r="X34" s="114">
        <f>X33/X6</f>
        <v>0.41431077526487686</v>
      </c>
    </row>
    <row r="35" spans="21:24" s="108" customFormat="1" ht="12.75">
      <c r="U35" s="11"/>
      <c r="V35" s="11"/>
      <c r="W35" s="11"/>
      <c r="X35" s="11"/>
    </row>
    <row r="36" spans="1:24" ht="12.75">
      <c r="A36" s="108" t="s">
        <v>192</v>
      </c>
      <c r="B36" s="108"/>
      <c r="C36" s="206">
        <f>'Salaries '!CP59</f>
        <v>0.09</v>
      </c>
      <c r="D36" s="206">
        <f>'Salaries '!CQ59</f>
        <v>0.16329999999999997</v>
      </c>
      <c r="E36" s="206">
        <f>'Salaries '!CR59</f>
        <v>0.16329999999999997</v>
      </c>
      <c r="F36" s="206">
        <f>'Salaries '!CS59</f>
        <v>0.16329999999999997</v>
      </c>
      <c r="G36" s="206">
        <f>'Salaries '!CT59</f>
        <v>0.16329999999999997</v>
      </c>
      <c r="H36" s="206">
        <f>'Salaries '!CU59</f>
        <v>0.16329999999999997</v>
      </c>
      <c r="I36" s="206">
        <f>'Salaries '!CV59</f>
        <v>0.2833</v>
      </c>
      <c r="J36" s="206">
        <f>'Salaries '!CW59</f>
        <v>0.2833</v>
      </c>
      <c r="K36" s="206">
        <f>'Salaries '!CX59</f>
        <v>0.2833</v>
      </c>
      <c r="L36" s="206">
        <f>'Salaries '!CY59</f>
        <v>0.3833</v>
      </c>
      <c r="M36" s="206">
        <f>'Salaries '!CZ59</f>
        <v>0.3833</v>
      </c>
      <c r="N36" s="206">
        <f>'Salaries '!DA59</f>
        <v>0.3833</v>
      </c>
      <c r="O36" s="206">
        <f>'Salaries '!DB59</f>
        <v>0.6565</v>
      </c>
      <c r="P36" s="206">
        <f>'Salaries '!DC59</f>
        <v>0.6565</v>
      </c>
      <c r="Q36" s="206">
        <f>'Salaries '!DD59</f>
        <v>0.6565</v>
      </c>
      <c r="R36" s="206">
        <f>'Salaries '!DE59</f>
        <v>0.6565</v>
      </c>
      <c r="S36" s="206">
        <f>'Salaries '!DF59</f>
        <v>0.6565</v>
      </c>
      <c r="T36" s="206">
        <f>'Salaries '!DG59</f>
        <v>0.6565</v>
      </c>
      <c r="U36" s="206">
        <f>'Salaries '!DH59</f>
        <v>4.5</v>
      </c>
      <c r="V36" s="206">
        <f>'Salaries '!DI59</f>
        <v>15</v>
      </c>
      <c r="W36" s="206">
        <f>'Salaries '!DJ59</f>
        <v>20</v>
      </c>
      <c r="X36" s="206">
        <f>'Salaries '!DK59</f>
        <v>27</v>
      </c>
    </row>
    <row r="37" spans="1:20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2" s="115" customFormat="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6"/>
      <c r="V38" s="116"/>
    </row>
    <row r="39" spans="1:22" s="115" customFormat="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6"/>
      <c r="V39" s="116"/>
    </row>
    <row r="40" spans="1:22" s="115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6"/>
      <c r="V40" s="116"/>
    </row>
    <row r="41" spans="1:22" s="115" customFormat="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6"/>
      <c r="V41" s="116"/>
    </row>
    <row r="42" spans="1:22" s="115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6"/>
      <c r="V42" s="116"/>
    </row>
    <row r="43" s="115" customFormat="1" ht="12.75"/>
    <row r="44" spans="1:21" s="115" customFormat="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="115" customFormat="1" ht="12.75"/>
    <row r="46" s="115" customFormat="1" ht="12.75"/>
    <row r="47" s="115" customFormat="1" ht="12.75"/>
  </sheetData>
  <sheetProtection/>
  <printOptions horizontalCentered="1"/>
  <pageMargins left="0.5" right="0.5" top="1.09" bottom="1.11" header="0.36" footer="0.5"/>
  <pageSetup fitToWidth="2" fitToHeight="1" horizontalDpi="600" verticalDpi="600" orientation="landscape" scale="84" r:id="rId1"/>
  <headerFooter alignWithMargins="0">
    <oddHeader>&amp;LConfidential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PageLayoutView="0" workbookViewId="0" topLeftCell="A13">
      <selection activeCell="A48" sqref="A48"/>
    </sheetView>
  </sheetViews>
  <sheetFormatPr defaultColWidth="8.8515625" defaultRowHeight="12.75"/>
  <cols>
    <col min="1" max="1" width="40.140625" style="102" bestFit="1" customWidth="1"/>
    <col min="2" max="19" width="11.28125" style="102" customWidth="1"/>
    <col min="20" max="20" width="10.28125" style="102" bestFit="1" customWidth="1"/>
    <col min="21" max="21" width="11.140625" style="102" customWidth="1"/>
    <col min="22" max="23" width="15.00390625" style="102" customWidth="1"/>
    <col min="24" max="16384" width="8.8515625" style="102" customWidth="1"/>
  </cols>
  <sheetData>
    <row r="1" spans="1:20" ht="12.75">
      <c r="A1" s="14" t="s">
        <v>320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6" customFormat="1" ht="12.75">
      <c r="A2" s="144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s="1" customFormat="1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20:23" s="13" customFormat="1" ht="12.75">
      <c r="T4" s="1" t="s">
        <v>295</v>
      </c>
      <c r="U4" s="188"/>
      <c r="V4" s="188"/>
      <c r="W4" s="188"/>
    </row>
    <row r="5" spans="1:23" ht="12.75">
      <c r="A5" s="187" t="s">
        <v>38</v>
      </c>
      <c r="B5" s="187" t="s">
        <v>260</v>
      </c>
      <c r="C5" s="187" t="s">
        <v>261</v>
      </c>
      <c r="D5" s="187" t="s">
        <v>262</v>
      </c>
      <c r="E5" s="187" t="s">
        <v>263</v>
      </c>
      <c r="F5" s="187" t="s">
        <v>264</v>
      </c>
      <c r="G5" s="187" t="s">
        <v>271</v>
      </c>
      <c r="H5" s="187" t="s">
        <v>265</v>
      </c>
      <c r="I5" s="187" t="s">
        <v>266</v>
      </c>
      <c r="J5" s="187" t="s">
        <v>267</v>
      </c>
      <c r="K5" s="187" t="s">
        <v>268</v>
      </c>
      <c r="L5" s="187" t="s">
        <v>269</v>
      </c>
      <c r="M5" s="187" t="s">
        <v>270</v>
      </c>
      <c r="N5" s="187" t="s">
        <v>272</v>
      </c>
      <c r="O5" s="187" t="s">
        <v>273</v>
      </c>
      <c r="P5" s="187" t="s">
        <v>274</v>
      </c>
      <c r="Q5" s="187" t="s">
        <v>275</v>
      </c>
      <c r="R5" s="187" t="s">
        <v>276</v>
      </c>
      <c r="S5" s="187" t="s">
        <v>277</v>
      </c>
      <c r="T5" s="204" t="s">
        <v>250</v>
      </c>
      <c r="U5" s="190" t="s">
        <v>147</v>
      </c>
      <c r="V5" s="189" t="s">
        <v>148</v>
      </c>
      <c r="W5" s="189" t="s">
        <v>149</v>
      </c>
    </row>
    <row r="6" spans="1:23" s="108" customFormat="1" ht="12.75">
      <c r="A6" s="145" t="s">
        <v>55</v>
      </c>
      <c r="B6" s="155">
        <f>'P&amp;L'!C26</f>
        <v>-19235</v>
      </c>
      <c r="C6" s="155">
        <f>'P&amp;L'!D26</f>
        <v>-38474.4</v>
      </c>
      <c r="D6" s="155">
        <f>'P&amp;L'!E26</f>
        <v>-28474.4</v>
      </c>
      <c r="E6" s="155">
        <f>'P&amp;L'!F26</f>
        <v>-28474.4</v>
      </c>
      <c r="F6" s="155">
        <f>'P&amp;L'!G26</f>
        <v>-28474.4</v>
      </c>
      <c r="G6" s="155">
        <f>'P&amp;L'!H26</f>
        <v>-20474.4</v>
      </c>
      <c r="H6" s="155">
        <f>'P&amp;L'!I26</f>
        <v>-52516.9</v>
      </c>
      <c r="I6" s="155">
        <f>'P&amp;L'!J26</f>
        <v>-44318.56666666667</v>
      </c>
      <c r="J6" s="155">
        <f>'P&amp;L'!K26</f>
        <v>-40580.23333333333</v>
      </c>
      <c r="K6" s="155">
        <f>'P&amp;L'!L26</f>
        <v>-48366.899999999994</v>
      </c>
      <c r="L6" s="155">
        <f>'P&amp;L'!M26</f>
        <v>-43548.56666666668</v>
      </c>
      <c r="M6" s="155">
        <f>'P&amp;L'!N26</f>
        <v>-38190.23333333334</v>
      </c>
      <c r="N6" s="155">
        <f>'P&amp;L'!O26</f>
        <v>-98454.36458333334</v>
      </c>
      <c r="O6" s="155">
        <f>'P&amp;L'!P26</f>
        <v>-86566.03125</v>
      </c>
      <c r="P6" s="155">
        <f>'P&amp;L'!Q26</f>
        <v>-79100.19791666666</v>
      </c>
      <c r="Q6" s="155">
        <f>'P&amp;L'!R26</f>
        <v>-70519.36458333334</v>
      </c>
      <c r="R6" s="155">
        <f>'P&amp;L'!S26</f>
        <v>-60823.53125</v>
      </c>
      <c r="S6" s="155">
        <f>'P&amp;L'!T26</f>
        <v>-49475.19791666666</v>
      </c>
      <c r="T6" s="155">
        <f>'P&amp;L'!U26</f>
        <v>183502.39583333326</v>
      </c>
      <c r="U6" s="155">
        <f>'P&amp;L'!V26</f>
        <v>970753.9583333335</v>
      </c>
      <c r="V6" s="11">
        <f>'P&amp;L'!W26</f>
        <v>3786089.6028645835</v>
      </c>
      <c r="W6" s="11">
        <f>'P&amp;L'!X26</f>
        <v>8045615.677083333</v>
      </c>
    </row>
    <row r="7" spans="1:23" s="108" customFormat="1" ht="12.75">
      <c r="A7" s="146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1"/>
      <c r="W7" s="11"/>
    </row>
    <row r="8" spans="1:23" s="108" customFormat="1" ht="12.75">
      <c r="A8" s="155" t="s">
        <v>39</v>
      </c>
      <c r="B8" s="155">
        <f>Expenses!D78</f>
        <v>125</v>
      </c>
      <c r="C8" s="155">
        <f>Expenses!E78</f>
        <v>125</v>
      </c>
      <c r="D8" s="155">
        <f>Expenses!F78</f>
        <v>125</v>
      </c>
      <c r="E8" s="155">
        <f>Expenses!G78</f>
        <v>125</v>
      </c>
      <c r="F8" s="155">
        <f>Expenses!H78</f>
        <v>125</v>
      </c>
      <c r="G8" s="155">
        <f>Expenses!I78</f>
        <v>125</v>
      </c>
      <c r="H8" s="155">
        <f>Expenses!J78</f>
        <v>375</v>
      </c>
      <c r="I8" s="155">
        <f>Expenses!K78</f>
        <v>416.6666666666667</v>
      </c>
      <c r="J8" s="155">
        <f>Expenses!L78</f>
        <v>458.33333333333337</v>
      </c>
      <c r="K8" s="155">
        <f>Expenses!M78</f>
        <v>500.00000000000006</v>
      </c>
      <c r="L8" s="155">
        <f>Expenses!N78</f>
        <v>541.6666666666667</v>
      </c>
      <c r="M8" s="155">
        <f>Expenses!O78</f>
        <v>583.3333333333334</v>
      </c>
      <c r="N8" s="155">
        <f>Expenses!P78</f>
        <v>833.3333333333334</v>
      </c>
      <c r="O8" s="155">
        <f>Expenses!Q78</f>
        <v>875</v>
      </c>
      <c r="P8" s="155">
        <f>Expenses!R78</f>
        <v>916.6666666666666</v>
      </c>
      <c r="Q8" s="155">
        <f>Expenses!S78</f>
        <v>958.3333333333333</v>
      </c>
      <c r="R8" s="155">
        <f>Expenses!T78</f>
        <v>999.9999999999999</v>
      </c>
      <c r="S8" s="155">
        <f>Expenses!U78</f>
        <v>1041.6666666666665</v>
      </c>
      <c r="T8" s="155">
        <f>Expenses!V78</f>
        <v>7291.666666666666</v>
      </c>
      <c r="U8" s="155">
        <f>Expenses!W78</f>
        <v>30291.666666666664</v>
      </c>
      <c r="V8" s="11">
        <f>Expenses!X78</f>
        <v>51291.666666666664</v>
      </c>
      <c r="W8" s="11">
        <f>Expenses!Y78</f>
        <v>90291.66666666666</v>
      </c>
    </row>
    <row r="9" spans="1:23" s="108" customFormat="1" ht="12.75">
      <c r="A9" s="147" t="s">
        <v>40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1"/>
      <c r="W9" s="11"/>
    </row>
    <row r="10" spans="1:23" s="108" customFormat="1" ht="12.75">
      <c r="A10" s="109" t="s">
        <v>173</v>
      </c>
      <c r="B10" s="155">
        <f>'Working Capital'!C9*-1</f>
        <v>0</v>
      </c>
      <c r="C10" s="155">
        <f>'Working Capital'!D9*-1</f>
        <v>0</v>
      </c>
      <c r="D10" s="155">
        <f>'Working Capital'!E9*-1</f>
        <v>0</v>
      </c>
      <c r="E10" s="155">
        <f>'Working Capital'!F9*-1</f>
        <v>0</v>
      </c>
      <c r="F10" s="155">
        <f>'Working Capital'!G9*-1</f>
        <v>0</v>
      </c>
      <c r="G10" s="155">
        <f>'Working Capital'!H9*-1</f>
        <v>-1315.0684931506848</v>
      </c>
      <c r="H10" s="155">
        <f>'Working Capital'!I9*-1</f>
        <v>-1758.904109589041</v>
      </c>
      <c r="I10" s="155">
        <f>'Working Capital'!J9*-1</f>
        <v>-2291.5068493150684</v>
      </c>
      <c r="J10" s="155">
        <f>'Working Capital'!K9*-1</f>
        <v>-2912.876712328767</v>
      </c>
      <c r="K10" s="155">
        <f>'Working Capital'!L9*-1</f>
        <v>-3623.013698630137</v>
      </c>
      <c r="L10" s="155">
        <f>'Working Capital'!M9*-1</f>
        <v>-4421.9178082191775</v>
      </c>
      <c r="M10" s="155">
        <f>'Working Capital'!N9*-1</f>
        <v>-5309.58904109589</v>
      </c>
      <c r="N10" s="155">
        <f>'Working Capital'!O9*-1</f>
        <v>-6729.863013698629</v>
      </c>
      <c r="O10" s="155">
        <f>'Working Capital'!P9*-1</f>
        <v>-7869.04109589041</v>
      </c>
      <c r="P10" s="155">
        <f>'Working Capital'!Q9*-1</f>
        <v>-9103.150684931506</v>
      </c>
      <c r="Q10" s="155">
        <f>'Working Capital'!R9*-1</f>
        <v>-10520.547945205479</v>
      </c>
      <c r="R10" s="155">
        <f>'Working Capital'!S9*-1</f>
        <v>-12121.232876712327</v>
      </c>
      <c r="S10" s="155">
        <f>'Working Capital'!T9*-1</f>
        <v>-13993.561643835616</v>
      </c>
      <c r="T10" s="155">
        <f>'Working Capital'!U9*-1</f>
        <v>-164384.38356164383</v>
      </c>
      <c r="U10" s="155">
        <f>'Working Capital'!V9*-1</f>
        <v>-600909.0410958903</v>
      </c>
      <c r="V10" s="11">
        <f>'Working Capital'!V9-'Working Capital'!W9</f>
        <v>-568109.5890410959</v>
      </c>
      <c r="W10" s="11">
        <f>'Working Capital'!W9-'Working Capital'!X9</f>
        <v>-387183.6986301369</v>
      </c>
    </row>
    <row r="11" spans="1:23" s="108" customFormat="1" ht="12.75">
      <c r="A11" s="109" t="s">
        <v>174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1"/>
      <c r="W11" s="11"/>
    </row>
    <row r="12" spans="1:23" s="108" customFormat="1" ht="12.75">
      <c r="A12" s="109" t="s">
        <v>175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1"/>
      <c r="W12" s="11"/>
    </row>
    <row r="13" spans="1:23" s="108" customFormat="1" ht="12.75">
      <c r="A13" s="109" t="s">
        <v>151</v>
      </c>
      <c r="B13" s="155">
        <f>'Working Capital'!C14</f>
        <v>109.58904109589041</v>
      </c>
      <c r="C13" s="155">
        <f>'Working Capital'!D14</f>
        <v>657.5342465753424</v>
      </c>
      <c r="D13" s="155">
        <f>'Working Capital'!E14</f>
        <v>109.58904109589041</v>
      </c>
      <c r="E13" s="155">
        <f>'Working Capital'!F14</f>
        <v>109.58904109589041</v>
      </c>
      <c r="F13" s="155">
        <f>'Working Capital'!G14</f>
        <v>109.58904109589041</v>
      </c>
      <c r="G13" s="155">
        <f>'Working Capital'!H14</f>
        <v>109.58904109589041</v>
      </c>
      <c r="H13" s="155">
        <f>'Working Capital'!I14</f>
        <v>931.5068493150684</v>
      </c>
      <c r="I13" s="155">
        <f>'Working Capital'!J14</f>
        <v>657.5342465753424</v>
      </c>
      <c r="J13" s="155">
        <f>'Working Capital'!K14</f>
        <v>657.5342465753424</v>
      </c>
      <c r="K13" s="155">
        <f>'Working Capital'!L14</f>
        <v>657.5342465753424</v>
      </c>
      <c r="L13" s="155">
        <f>'Working Capital'!M14</f>
        <v>657.5342465753424</v>
      </c>
      <c r="M13" s="155">
        <f>'Working Capital'!N14</f>
        <v>657.5342465753424</v>
      </c>
      <c r="N13" s="155">
        <f>'Working Capital'!O14</f>
        <v>931.5068493150684</v>
      </c>
      <c r="O13" s="155">
        <f>'Working Capital'!P14</f>
        <v>657.5342465753424</v>
      </c>
      <c r="P13" s="155">
        <f>'Working Capital'!Q14</f>
        <v>657.5342465753424</v>
      </c>
      <c r="Q13" s="155">
        <f>'Working Capital'!R14</f>
        <v>657.5342465753424</v>
      </c>
      <c r="R13" s="155">
        <f>'Working Capital'!S14</f>
        <v>657.5342465753424</v>
      </c>
      <c r="S13" s="155">
        <f>'Working Capital'!T14</f>
        <v>657.5342465753424</v>
      </c>
      <c r="T13" s="155">
        <f>'Working Capital'!U14</f>
        <v>3013.698630136986</v>
      </c>
      <c r="U13" s="155">
        <f>'Working Capital'!V14</f>
        <v>18082.191780821915</v>
      </c>
      <c r="V13" s="11">
        <f>'Working Capital'!W14-'Working Capital'!V14</f>
        <v>-1643.835616438355</v>
      </c>
      <c r="W13" s="11">
        <f>'Working Capital'!X14-'Working Capital'!W14</f>
        <v>4383.5616438356155</v>
      </c>
    </row>
    <row r="14" spans="1:23" s="108" customFormat="1" ht="12.75">
      <c r="A14" s="109" t="s">
        <v>26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1"/>
      <c r="W14" s="11"/>
    </row>
    <row r="15" spans="1:23" s="108" customFormat="1" ht="12.75">
      <c r="A15" s="109" t="s">
        <v>176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1"/>
      <c r="W15" s="11"/>
    </row>
    <row r="16" spans="1:23" s="108" customFormat="1" ht="12.75">
      <c r="A16" s="109" t="s">
        <v>177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1"/>
      <c r="W16" s="11"/>
    </row>
    <row r="17" spans="1:23" s="108" customFormat="1" ht="12.75">
      <c r="A17" s="109" t="s">
        <v>163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1"/>
      <c r="W17" s="11"/>
    </row>
    <row r="18" spans="1:23" s="108" customFormat="1" ht="12.75">
      <c r="A18" s="109" t="s">
        <v>164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1"/>
      <c r="W18" s="11"/>
    </row>
    <row r="19" spans="1:23" s="108" customFormat="1" ht="12.75">
      <c r="A19" s="111" t="s">
        <v>178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1"/>
      <c r="W19" s="11"/>
    </row>
    <row r="20" spans="1:23" s="108" customFormat="1" ht="12.75">
      <c r="A20" s="111" t="s">
        <v>179</v>
      </c>
      <c r="B20" s="153">
        <f aca="true" t="shared" si="0" ref="B20:W20">SUM(B6:B19)</f>
        <v>-19000.41095890411</v>
      </c>
      <c r="C20" s="153">
        <f t="shared" si="0"/>
        <v>-37691.86575342466</v>
      </c>
      <c r="D20" s="153">
        <f t="shared" si="0"/>
        <v>-28239.810958904112</v>
      </c>
      <c r="E20" s="153">
        <f t="shared" si="0"/>
        <v>-28239.810958904112</v>
      </c>
      <c r="F20" s="153">
        <f t="shared" si="0"/>
        <v>-28239.810958904112</v>
      </c>
      <c r="G20" s="153">
        <f t="shared" si="0"/>
        <v>-21554.879452054796</v>
      </c>
      <c r="H20" s="153">
        <f t="shared" si="0"/>
        <v>-52969.297260273976</v>
      </c>
      <c r="I20" s="153">
        <f t="shared" si="0"/>
        <v>-45535.872602739735</v>
      </c>
      <c r="J20" s="153">
        <f t="shared" si="0"/>
        <v>-42377.24246575342</v>
      </c>
      <c r="K20" s="153">
        <f t="shared" si="0"/>
        <v>-50832.37945205479</v>
      </c>
      <c r="L20" s="153">
        <f t="shared" si="0"/>
        <v>-46771.28356164385</v>
      </c>
      <c r="M20" s="153">
        <f t="shared" si="0"/>
        <v>-42258.95479452055</v>
      </c>
      <c r="N20" s="153">
        <f t="shared" si="0"/>
        <v>-103419.38741438359</v>
      </c>
      <c r="O20" s="153">
        <f t="shared" si="0"/>
        <v>-92902.53809931506</v>
      </c>
      <c r="P20" s="153">
        <f t="shared" si="0"/>
        <v>-86629.14768835614</v>
      </c>
      <c r="Q20" s="153">
        <f t="shared" si="0"/>
        <v>-79424.04494863015</v>
      </c>
      <c r="R20" s="153">
        <f t="shared" si="0"/>
        <v>-71287.22988013698</v>
      </c>
      <c r="S20" s="153">
        <f t="shared" si="0"/>
        <v>-61769.558647260266</v>
      </c>
      <c r="T20" s="153">
        <f t="shared" si="0"/>
        <v>29423.37756849307</v>
      </c>
      <c r="U20" s="153">
        <f t="shared" si="0"/>
        <v>418218.77568493166</v>
      </c>
      <c r="V20" s="154">
        <f t="shared" si="0"/>
        <v>3267627.8448737157</v>
      </c>
      <c r="W20" s="154">
        <f t="shared" si="0"/>
        <v>7753107.206763698</v>
      </c>
    </row>
    <row r="21" spans="1:23" s="108" customFormat="1" ht="12.75">
      <c r="A21" s="147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1"/>
      <c r="W21" s="11"/>
    </row>
    <row r="22" spans="1:23" s="108" customFormat="1" ht="12.75">
      <c r="A22" s="147" t="s">
        <v>180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1"/>
      <c r="W22" s="11"/>
    </row>
    <row r="23" spans="1:23" s="108" customFormat="1" ht="12.75">
      <c r="A23" s="155" t="s">
        <v>181</v>
      </c>
      <c r="B23" s="155">
        <f>Expenses!D76</f>
        <v>4500</v>
      </c>
      <c r="C23" s="155">
        <f>Expenses!E76</f>
        <v>3000</v>
      </c>
      <c r="D23" s="155">
        <f>Expenses!F76</f>
        <v>0</v>
      </c>
      <c r="E23" s="155">
        <f>Expenses!G76</f>
        <v>0</v>
      </c>
      <c r="F23" s="155">
        <f>Expenses!H76</f>
        <v>0</v>
      </c>
      <c r="G23" s="155">
        <f>Expenses!I76</f>
        <v>0</v>
      </c>
      <c r="H23" s="155">
        <f>Expenses!J76</f>
        <v>9000</v>
      </c>
      <c r="I23" s="155">
        <f>Expenses!K76</f>
        <v>1500</v>
      </c>
      <c r="J23" s="155">
        <f>Expenses!L76</f>
        <v>1500</v>
      </c>
      <c r="K23" s="155">
        <f>Expenses!M76</f>
        <v>1500</v>
      </c>
      <c r="L23" s="155">
        <f>Expenses!N76</f>
        <v>1500</v>
      </c>
      <c r="M23" s="155">
        <f>Expenses!O76</f>
        <v>1500</v>
      </c>
      <c r="N23" s="155">
        <f>Expenses!P76</f>
        <v>9000</v>
      </c>
      <c r="O23" s="155">
        <f>Expenses!Q76</f>
        <v>1500</v>
      </c>
      <c r="P23" s="155">
        <f>Expenses!R76</f>
        <v>1500</v>
      </c>
      <c r="Q23" s="155">
        <f>Expenses!S76</f>
        <v>1500</v>
      </c>
      <c r="R23" s="155">
        <f>Expenses!T76</f>
        <v>1500</v>
      </c>
      <c r="S23" s="155">
        <f>Expenses!U76</f>
        <v>1500</v>
      </c>
      <c r="T23" s="155">
        <f>Expenses!V76</f>
        <v>18750</v>
      </c>
      <c r="U23" s="155">
        <f>Expenses!W76</f>
        <v>69000</v>
      </c>
      <c r="V23" s="11">
        <f>Expenses!X76</f>
        <v>63000</v>
      </c>
      <c r="W23" s="11">
        <f>Expenses!Y76</f>
        <v>117000</v>
      </c>
    </row>
    <row r="24" spans="1:23" s="108" customFormat="1" ht="12.75">
      <c r="A24" s="111" t="s">
        <v>182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1"/>
      <c r="W24" s="11"/>
    </row>
    <row r="25" spans="1:23" s="108" customFormat="1" ht="12.75">
      <c r="A25" s="111" t="s">
        <v>0</v>
      </c>
      <c r="B25" s="153">
        <f aca="true" t="shared" si="1" ref="B25:W25">SUM(B23:B24)</f>
        <v>4500</v>
      </c>
      <c r="C25" s="153">
        <f t="shared" si="1"/>
        <v>3000</v>
      </c>
      <c r="D25" s="153">
        <f t="shared" si="1"/>
        <v>0</v>
      </c>
      <c r="E25" s="153">
        <f t="shared" si="1"/>
        <v>0</v>
      </c>
      <c r="F25" s="153">
        <f t="shared" si="1"/>
        <v>0</v>
      </c>
      <c r="G25" s="153">
        <f t="shared" si="1"/>
        <v>0</v>
      </c>
      <c r="H25" s="153">
        <f t="shared" si="1"/>
        <v>9000</v>
      </c>
      <c r="I25" s="153">
        <f t="shared" si="1"/>
        <v>1500</v>
      </c>
      <c r="J25" s="153">
        <f t="shared" si="1"/>
        <v>1500</v>
      </c>
      <c r="K25" s="153">
        <f t="shared" si="1"/>
        <v>1500</v>
      </c>
      <c r="L25" s="153">
        <f t="shared" si="1"/>
        <v>1500</v>
      </c>
      <c r="M25" s="153">
        <f t="shared" si="1"/>
        <v>1500</v>
      </c>
      <c r="N25" s="153">
        <f t="shared" si="1"/>
        <v>9000</v>
      </c>
      <c r="O25" s="153">
        <f t="shared" si="1"/>
        <v>1500</v>
      </c>
      <c r="P25" s="153">
        <f t="shared" si="1"/>
        <v>1500</v>
      </c>
      <c r="Q25" s="153">
        <f t="shared" si="1"/>
        <v>1500</v>
      </c>
      <c r="R25" s="153">
        <f t="shared" si="1"/>
        <v>1500</v>
      </c>
      <c r="S25" s="153">
        <f t="shared" si="1"/>
        <v>1500</v>
      </c>
      <c r="T25" s="153">
        <f t="shared" si="1"/>
        <v>18750</v>
      </c>
      <c r="U25" s="153">
        <f t="shared" si="1"/>
        <v>69000</v>
      </c>
      <c r="V25" s="154">
        <f t="shared" si="1"/>
        <v>63000</v>
      </c>
      <c r="W25" s="154">
        <f t="shared" si="1"/>
        <v>117000</v>
      </c>
    </row>
    <row r="26" spans="1:23" s="108" customFormat="1" ht="12.75">
      <c r="A26" s="109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1"/>
      <c r="W26" s="11"/>
    </row>
    <row r="27" spans="1:23" s="108" customFormat="1" ht="12.75">
      <c r="A27" s="147" t="s">
        <v>122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1"/>
      <c r="W27" s="11"/>
    </row>
    <row r="28" spans="1:23" s="108" customFormat="1" ht="12.75">
      <c r="A28" s="109" t="s">
        <v>123</v>
      </c>
      <c r="B28" s="156">
        <f>'Cap Table'!B4</f>
        <v>500000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>
        <f>'Cap Table'!B5</f>
        <v>1000000</v>
      </c>
      <c r="O28" s="156"/>
      <c r="P28" s="156"/>
      <c r="Q28" s="156"/>
      <c r="R28" s="156"/>
      <c r="S28" s="156"/>
      <c r="T28" s="156"/>
      <c r="U28" s="156"/>
      <c r="V28" s="149"/>
      <c r="W28" s="149"/>
    </row>
    <row r="29" spans="1:23" s="108" customFormat="1" ht="12.75">
      <c r="A29" s="109" t="s">
        <v>104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49"/>
      <c r="W29" s="149"/>
    </row>
    <row r="30" spans="1:23" s="108" customFormat="1" ht="12.75">
      <c r="A30" s="109" t="s">
        <v>124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49"/>
      <c r="W30" s="149"/>
    </row>
    <row r="31" spans="1:23" s="108" customFormat="1" ht="12.75">
      <c r="A31" s="111" t="s">
        <v>125</v>
      </c>
      <c r="B31" s="154">
        <f aca="true" t="shared" si="2" ref="B31:W31">SUM(B28:B30)</f>
        <v>500000</v>
      </c>
      <c r="C31" s="154">
        <f t="shared" si="2"/>
        <v>0</v>
      </c>
      <c r="D31" s="154">
        <f t="shared" si="2"/>
        <v>0</v>
      </c>
      <c r="E31" s="154">
        <f t="shared" si="2"/>
        <v>0</v>
      </c>
      <c r="F31" s="154">
        <f t="shared" si="2"/>
        <v>0</v>
      </c>
      <c r="G31" s="154">
        <f t="shared" si="2"/>
        <v>0</v>
      </c>
      <c r="H31" s="154">
        <f t="shared" si="2"/>
        <v>0</v>
      </c>
      <c r="I31" s="154">
        <f t="shared" si="2"/>
        <v>0</v>
      </c>
      <c r="J31" s="154">
        <f t="shared" si="2"/>
        <v>0</v>
      </c>
      <c r="K31" s="154">
        <f t="shared" si="2"/>
        <v>0</v>
      </c>
      <c r="L31" s="154">
        <f t="shared" si="2"/>
        <v>0</v>
      </c>
      <c r="M31" s="154">
        <f t="shared" si="2"/>
        <v>0</v>
      </c>
      <c r="N31" s="154">
        <f t="shared" si="2"/>
        <v>1000000</v>
      </c>
      <c r="O31" s="154">
        <f t="shared" si="2"/>
        <v>0</v>
      </c>
      <c r="P31" s="154">
        <f t="shared" si="2"/>
        <v>0</v>
      </c>
      <c r="Q31" s="154">
        <f t="shared" si="2"/>
        <v>0</v>
      </c>
      <c r="R31" s="154">
        <f t="shared" si="2"/>
        <v>0</v>
      </c>
      <c r="S31" s="154">
        <f t="shared" si="2"/>
        <v>0</v>
      </c>
      <c r="T31" s="154">
        <f t="shared" si="2"/>
        <v>0</v>
      </c>
      <c r="U31" s="154">
        <f t="shared" si="2"/>
        <v>0</v>
      </c>
      <c r="V31" s="154">
        <f t="shared" si="2"/>
        <v>0</v>
      </c>
      <c r="W31" s="154">
        <f t="shared" si="2"/>
        <v>0</v>
      </c>
    </row>
    <row r="32" spans="1:23" s="108" customFormat="1" ht="12.75">
      <c r="A32" s="109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1"/>
      <c r="W32" s="11"/>
    </row>
    <row r="33" spans="1:23" s="108" customFormat="1" ht="12.75">
      <c r="A33" s="147" t="s">
        <v>126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1"/>
      <c r="W33" s="11"/>
    </row>
    <row r="34" spans="1:23" s="108" customFormat="1" ht="12.75">
      <c r="A34" s="109" t="s">
        <v>127</v>
      </c>
      <c r="B34" s="155">
        <f aca="true" t="shared" si="3" ref="B34:W34">B20+B25+B31</f>
        <v>485499.58904109587</v>
      </c>
      <c r="C34" s="155">
        <f t="shared" si="3"/>
        <v>-34691.86575342466</v>
      </c>
      <c r="D34" s="155">
        <f t="shared" si="3"/>
        <v>-28239.810958904112</v>
      </c>
      <c r="E34" s="155">
        <f t="shared" si="3"/>
        <v>-28239.810958904112</v>
      </c>
      <c r="F34" s="155">
        <f t="shared" si="3"/>
        <v>-28239.810958904112</v>
      </c>
      <c r="G34" s="155">
        <f t="shared" si="3"/>
        <v>-21554.879452054796</v>
      </c>
      <c r="H34" s="155">
        <f t="shared" si="3"/>
        <v>-43969.297260273976</v>
      </c>
      <c r="I34" s="155">
        <f t="shared" si="3"/>
        <v>-44035.872602739735</v>
      </c>
      <c r="J34" s="155">
        <f t="shared" si="3"/>
        <v>-40877.24246575342</v>
      </c>
      <c r="K34" s="155">
        <f t="shared" si="3"/>
        <v>-49332.37945205479</v>
      </c>
      <c r="L34" s="155">
        <f t="shared" si="3"/>
        <v>-45271.28356164385</v>
      </c>
      <c r="M34" s="155">
        <f t="shared" si="3"/>
        <v>-40758.95479452055</v>
      </c>
      <c r="N34" s="155">
        <f t="shared" si="3"/>
        <v>905580.6125856164</v>
      </c>
      <c r="O34" s="155">
        <f t="shared" si="3"/>
        <v>-91402.53809931506</v>
      </c>
      <c r="P34" s="155">
        <f t="shared" si="3"/>
        <v>-85129.14768835614</v>
      </c>
      <c r="Q34" s="155">
        <f t="shared" si="3"/>
        <v>-77924.04494863015</v>
      </c>
      <c r="R34" s="155">
        <f t="shared" si="3"/>
        <v>-69787.22988013698</v>
      </c>
      <c r="S34" s="155">
        <f t="shared" si="3"/>
        <v>-60269.558647260266</v>
      </c>
      <c r="T34" s="155">
        <f t="shared" si="3"/>
        <v>48173.37756849307</v>
      </c>
      <c r="U34" s="155">
        <f t="shared" si="3"/>
        <v>487218.77568493166</v>
      </c>
      <c r="V34" s="11">
        <f t="shared" si="3"/>
        <v>3330627.8448737157</v>
      </c>
      <c r="W34" s="11">
        <f t="shared" si="3"/>
        <v>7870107.206763698</v>
      </c>
    </row>
    <row r="35" spans="1:23" s="108" customFormat="1" ht="12.75">
      <c r="A35" s="109" t="s">
        <v>128</v>
      </c>
      <c r="B35" s="156">
        <v>0</v>
      </c>
      <c r="C35" s="11">
        <f aca="true" t="shared" si="4" ref="C35:W35">B36</f>
        <v>485499.58904109587</v>
      </c>
      <c r="D35" s="11">
        <f t="shared" si="4"/>
        <v>450807.7232876712</v>
      </c>
      <c r="E35" s="11">
        <f t="shared" si="4"/>
        <v>422567.9123287671</v>
      </c>
      <c r="F35" s="11">
        <f t="shared" si="4"/>
        <v>394328.101369863</v>
      </c>
      <c r="G35" s="11">
        <f t="shared" si="4"/>
        <v>366088.2904109589</v>
      </c>
      <c r="H35" s="11">
        <f t="shared" si="4"/>
        <v>344533.41095890413</v>
      </c>
      <c r="I35" s="11">
        <f t="shared" si="4"/>
        <v>300564.1136986301</v>
      </c>
      <c r="J35" s="11">
        <f t="shared" si="4"/>
        <v>256528.2410958904</v>
      </c>
      <c r="K35" s="11">
        <f t="shared" si="4"/>
        <v>215650.99863013698</v>
      </c>
      <c r="L35" s="11">
        <f t="shared" si="4"/>
        <v>166318.61917808218</v>
      </c>
      <c r="M35" s="11">
        <f t="shared" si="4"/>
        <v>121047.33561643833</v>
      </c>
      <c r="N35" s="11">
        <f t="shared" si="4"/>
        <v>80288.38082191779</v>
      </c>
      <c r="O35" s="11">
        <f t="shared" si="4"/>
        <v>985868.9934075342</v>
      </c>
      <c r="P35" s="11">
        <f t="shared" si="4"/>
        <v>894466.4553082192</v>
      </c>
      <c r="Q35" s="11">
        <f t="shared" si="4"/>
        <v>809337.3076198631</v>
      </c>
      <c r="R35" s="11">
        <f t="shared" si="4"/>
        <v>731413.2626712329</v>
      </c>
      <c r="S35" s="11">
        <f t="shared" si="4"/>
        <v>661626.0327910959</v>
      </c>
      <c r="T35" s="11">
        <f t="shared" si="4"/>
        <v>601356.4741438356</v>
      </c>
      <c r="U35" s="11">
        <f t="shared" si="4"/>
        <v>649529.8517123286</v>
      </c>
      <c r="V35" s="11">
        <f t="shared" si="4"/>
        <v>1136748.6273972602</v>
      </c>
      <c r="W35" s="11">
        <f t="shared" si="4"/>
        <v>4467376.472270976</v>
      </c>
    </row>
    <row r="36" spans="1:23" s="108" customFormat="1" ht="12.75">
      <c r="A36" s="148" t="s">
        <v>56</v>
      </c>
      <c r="B36" s="153">
        <f aca="true" t="shared" si="5" ref="B36:W36">B35+B34</f>
        <v>485499.58904109587</v>
      </c>
      <c r="C36" s="153">
        <f t="shared" si="5"/>
        <v>450807.7232876712</v>
      </c>
      <c r="D36" s="153">
        <f t="shared" si="5"/>
        <v>422567.9123287671</v>
      </c>
      <c r="E36" s="153">
        <f t="shared" si="5"/>
        <v>394328.101369863</v>
      </c>
      <c r="F36" s="153">
        <f t="shared" si="5"/>
        <v>366088.2904109589</v>
      </c>
      <c r="G36" s="153">
        <f t="shared" si="5"/>
        <v>344533.41095890413</v>
      </c>
      <c r="H36" s="153">
        <f t="shared" si="5"/>
        <v>300564.1136986301</v>
      </c>
      <c r="I36" s="153">
        <f t="shared" si="5"/>
        <v>256528.2410958904</v>
      </c>
      <c r="J36" s="153">
        <f t="shared" si="5"/>
        <v>215650.99863013698</v>
      </c>
      <c r="K36" s="153">
        <f t="shared" si="5"/>
        <v>166318.61917808218</v>
      </c>
      <c r="L36" s="153">
        <f t="shared" si="5"/>
        <v>121047.33561643833</v>
      </c>
      <c r="M36" s="153">
        <f t="shared" si="5"/>
        <v>80288.38082191779</v>
      </c>
      <c r="N36" s="153">
        <f t="shared" si="5"/>
        <v>985868.9934075342</v>
      </c>
      <c r="O36" s="153">
        <f t="shared" si="5"/>
        <v>894466.4553082192</v>
      </c>
      <c r="P36" s="153">
        <f t="shared" si="5"/>
        <v>809337.3076198631</v>
      </c>
      <c r="Q36" s="153">
        <f t="shared" si="5"/>
        <v>731413.2626712329</v>
      </c>
      <c r="R36" s="153">
        <f t="shared" si="5"/>
        <v>661626.0327910959</v>
      </c>
      <c r="S36" s="153">
        <f t="shared" si="5"/>
        <v>601356.4741438356</v>
      </c>
      <c r="T36" s="153">
        <f t="shared" si="5"/>
        <v>649529.8517123286</v>
      </c>
      <c r="U36" s="153">
        <f t="shared" si="5"/>
        <v>1136748.6273972602</v>
      </c>
      <c r="V36" s="154">
        <f t="shared" si="5"/>
        <v>4467376.472270976</v>
      </c>
      <c r="W36" s="154">
        <f t="shared" si="5"/>
        <v>12337483.679034673</v>
      </c>
    </row>
    <row r="37" s="108" customFormat="1" ht="12.75">
      <c r="A37" s="5"/>
    </row>
    <row r="38" spans="1:23" s="108" customFormat="1" ht="12.75">
      <c r="A38" s="5" t="s">
        <v>57</v>
      </c>
      <c r="B38" s="108">
        <f>'P&amp;L'!C31</f>
        <v>-6732.25</v>
      </c>
      <c r="C38" s="108">
        <f>'P&amp;L'!D31</f>
        <v>-13466.039999999999</v>
      </c>
      <c r="D38" s="108">
        <f>'P&amp;L'!E31</f>
        <v>-9966.039999999999</v>
      </c>
      <c r="E38" s="108">
        <f>'P&amp;L'!F31</f>
        <v>-9966.039999999999</v>
      </c>
      <c r="F38" s="108">
        <f>'P&amp;L'!G31</f>
        <v>-9966.039999999999</v>
      </c>
      <c r="G38" s="108">
        <f>'P&amp;L'!H31</f>
        <v>-7166.04</v>
      </c>
      <c r="H38" s="108">
        <f>'P&amp;L'!I31</f>
        <v>-18380.915</v>
      </c>
      <c r="I38" s="108">
        <f>'P&amp;L'!J31</f>
        <v>-15511.498333333335</v>
      </c>
      <c r="J38" s="108">
        <f>'P&amp;L'!K31</f>
        <v>-14203.081666666665</v>
      </c>
      <c r="K38" s="108">
        <f>'P&amp;L'!L31</f>
        <v>-16928.414999999997</v>
      </c>
      <c r="L38" s="108">
        <f>'P&amp;L'!M31</f>
        <v>-15241.998333333337</v>
      </c>
      <c r="M38" s="108">
        <f>'P&amp;L'!N31</f>
        <v>-13366.581666666667</v>
      </c>
      <c r="N38" s="108">
        <f>'P&amp;L'!O31</f>
        <v>-34459.027604166666</v>
      </c>
      <c r="O38" s="108">
        <f>'P&amp;L'!P31</f>
        <v>-30298.110937499998</v>
      </c>
      <c r="P38" s="108">
        <f>'P&amp;L'!Q31</f>
        <v>-27685.06927083333</v>
      </c>
      <c r="Q38" s="108">
        <f>'P&amp;L'!R31</f>
        <v>-24681.77760416667</v>
      </c>
      <c r="R38" s="108">
        <f>'P&amp;L'!S31</f>
        <v>-21288.235937499998</v>
      </c>
      <c r="S38" s="108">
        <f>'P&amp;L'!T31</f>
        <v>-17316.31927083333</v>
      </c>
      <c r="T38" s="108">
        <f>'P&amp;L'!U31</f>
        <v>64225.838541666635</v>
      </c>
      <c r="U38" s="108">
        <f>'P&amp;L'!V31</f>
        <v>339763.8854166667</v>
      </c>
      <c r="V38" s="108">
        <f>'P&amp;L'!W31</f>
        <v>1325131.3610026042</v>
      </c>
      <c r="W38" s="108">
        <f>'P&amp;L'!X31</f>
        <v>2815965.4869791665</v>
      </c>
    </row>
    <row r="40" spans="1:23" ht="13.5" thickBot="1">
      <c r="A40" s="148" t="s">
        <v>300</v>
      </c>
      <c r="B40" s="186">
        <f aca="true" t="shared" si="6" ref="B40:W40">B36-B38</f>
        <v>492231.83904109587</v>
      </c>
      <c r="C40" s="186">
        <f t="shared" si="6"/>
        <v>464273.7632876712</v>
      </c>
      <c r="D40" s="186">
        <f t="shared" si="6"/>
        <v>432533.9523287671</v>
      </c>
      <c r="E40" s="186">
        <f t="shared" si="6"/>
        <v>404294.141369863</v>
      </c>
      <c r="F40" s="186">
        <f t="shared" si="6"/>
        <v>376054.3304109589</v>
      </c>
      <c r="G40" s="186">
        <f t="shared" si="6"/>
        <v>351699.4509589041</v>
      </c>
      <c r="H40" s="186">
        <f t="shared" si="6"/>
        <v>318945.0286986301</v>
      </c>
      <c r="I40" s="186">
        <f t="shared" si="6"/>
        <v>272039.73942922376</v>
      </c>
      <c r="J40" s="186">
        <f t="shared" si="6"/>
        <v>229854.08029680364</v>
      </c>
      <c r="K40" s="186">
        <f t="shared" si="6"/>
        <v>183247.0341780822</v>
      </c>
      <c r="L40" s="186">
        <f t="shared" si="6"/>
        <v>136289.33394977165</v>
      </c>
      <c r="M40" s="186">
        <f t="shared" si="6"/>
        <v>93654.96248858445</v>
      </c>
      <c r="N40" s="186">
        <f t="shared" si="6"/>
        <v>1020328.0210117009</v>
      </c>
      <c r="O40" s="186">
        <f t="shared" si="6"/>
        <v>924764.5662457192</v>
      </c>
      <c r="P40" s="186">
        <f t="shared" si="6"/>
        <v>837022.3768906964</v>
      </c>
      <c r="Q40" s="186">
        <f t="shared" si="6"/>
        <v>756095.0402753996</v>
      </c>
      <c r="R40" s="186">
        <f t="shared" si="6"/>
        <v>682914.2687285959</v>
      </c>
      <c r="S40" s="186">
        <f t="shared" si="6"/>
        <v>618672.7934146689</v>
      </c>
      <c r="T40" s="186">
        <f t="shared" si="6"/>
        <v>585304.013170662</v>
      </c>
      <c r="U40" s="186">
        <f t="shared" si="6"/>
        <v>796984.7419805934</v>
      </c>
      <c r="V40" s="186">
        <f t="shared" si="6"/>
        <v>3142245.1112683713</v>
      </c>
      <c r="W40" s="186">
        <f t="shared" si="6"/>
        <v>9521518.192055507</v>
      </c>
    </row>
    <row r="41" ht="13.5" thickTop="1"/>
  </sheetData>
  <sheetProtection/>
  <printOptions horizontalCentered="1"/>
  <pageMargins left="0.25" right="0.25" top="1.6" bottom="1.5" header="0.39" footer="0.5"/>
  <pageSetup fitToWidth="3" fitToHeight="1" horizontalDpi="600" verticalDpi="600" orientation="landscape" scale="71" r:id="rId1"/>
  <headerFooter alignWithMargins="0">
    <oddHeader>&amp;LConfidential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4.28125" style="102" bestFit="1" customWidth="1"/>
    <col min="2" max="2" width="2.7109375" style="119" customWidth="1"/>
    <col min="3" max="3" width="10.57421875" style="119" bestFit="1" customWidth="1"/>
    <col min="4" max="5" width="10.421875" style="119" bestFit="1" customWidth="1"/>
    <col min="6" max="6" width="10.57421875" style="119" bestFit="1" customWidth="1"/>
    <col min="7" max="7" width="10.140625" style="119" bestFit="1" customWidth="1"/>
    <col min="8" max="8" width="10.421875" style="119" bestFit="1" customWidth="1"/>
    <col min="9" max="9" width="11.140625" style="119" bestFit="1" customWidth="1"/>
    <col min="10" max="10" width="11.28125" style="119" bestFit="1" customWidth="1"/>
    <col min="11" max="11" width="10.8515625" style="119" bestFit="1" customWidth="1"/>
    <col min="12" max="15" width="11.8515625" style="119" bestFit="1" customWidth="1"/>
    <col min="16" max="16" width="11.28125" style="119" bestFit="1" customWidth="1"/>
    <col min="17" max="17" width="11.140625" style="119" bestFit="1" customWidth="1"/>
    <col min="18" max="18" width="11.8515625" style="119" bestFit="1" customWidth="1"/>
    <col min="19" max="19" width="11.28125" style="119" bestFit="1" customWidth="1"/>
    <col min="20" max="20" width="11.140625" style="119" bestFit="1" customWidth="1"/>
    <col min="21" max="21" width="13.8515625" style="119" bestFit="1" customWidth="1"/>
    <col min="22" max="23" width="10.28125" style="102" bestFit="1" customWidth="1"/>
    <col min="24" max="24" width="11.28125" style="102" bestFit="1" customWidth="1"/>
    <col min="25" max="16384" width="8.8515625" style="102" customWidth="1"/>
  </cols>
  <sheetData>
    <row r="1" spans="1:21" s="106" customFormat="1" ht="12.75">
      <c r="A1" s="14" t="s">
        <v>320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2.75">
      <c r="A2" s="118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s="1" customFormat="1" ht="12.75">
      <c r="A3" s="1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4" s="108" customFormat="1" ht="12.75">
      <c r="A4" s="238"/>
      <c r="B4" s="238"/>
      <c r="C4" s="148" t="s">
        <v>260</v>
      </c>
      <c r="D4" s="148" t="s">
        <v>296</v>
      </c>
      <c r="E4" s="148" t="s">
        <v>262</v>
      </c>
      <c r="F4" s="148" t="s">
        <v>263</v>
      </c>
      <c r="G4" s="148" t="s">
        <v>264</v>
      </c>
      <c r="H4" s="148" t="s">
        <v>271</v>
      </c>
      <c r="I4" s="148" t="s">
        <v>265</v>
      </c>
      <c r="J4" s="148" t="s">
        <v>266</v>
      </c>
      <c r="K4" s="148" t="s">
        <v>267</v>
      </c>
      <c r="L4" s="148" t="s">
        <v>268</v>
      </c>
      <c r="M4" s="148" t="s">
        <v>269</v>
      </c>
      <c r="N4" s="148" t="s">
        <v>270</v>
      </c>
      <c r="O4" s="148" t="s">
        <v>272</v>
      </c>
      <c r="P4" s="148" t="s">
        <v>273</v>
      </c>
      <c r="Q4" s="148" t="s">
        <v>274</v>
      </c>
      <c r="R4" s="148" t="s">
        <v>275</v>
      </c>
      <c r="S4" s="148" t="s">
        <v>276</v>
      </c>
      <c r="T4" s="148" t="s">
        <v>277</v>
      </c>
      <c r="U4" s="233" t="s">
        <v>293</v>
      </c>
      <c r="V4" s="233" t="s">
        <v>147</v>
      </c>
      <c r="W4" s="233" t="s">
        <v>148</v>
      </c>
      <c r="X4" s="233" t="s">
        <v>149</v>
      </c>
    </row>
    <row r="5" spans="1:24" s="108" customFormat="1" ht="12.7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3"/>
      <c r="V5" s="233"/>
      <c r="W5" s="233"/>
      <c r="X5" s="233"/>
    </row>
    <row r="6" spans="1:24" s="108" customFormat="1" ht="12.75">
      <c r="A6" s="238" t="s">
        <v>43</v>
      </c>
      <c r="B6" s="238"/>
      <c r="C6" s="2">
        <f>'P&amp;L'!C6</f>
        <v>0</v>
      </c>
      <c r="D6" s="2">
        <f>'P&amp;L'!D6</f>
        <v>0</v>
      </c>
      <c r="E6" s="2">
        <f>'P&amp;L'!E6</f>
        <v>0</v>
      </c>
      <c r="F6" s="2">
        <f>'P&amp;L'!F6</f>
        <v>0</v>
      </c>
      <c r="G6" s="2">
        <f>'P&amp;L'!G6</f>
        <v>0</v>
      </c>
      <c r="H6" s="2">
        <f>'P&amp;L'!H6</f>
        <v>8000</v>
      </c>
      <c r="I6" s="2">
        <f>'P&amp;L'!I6</f>
        <v>10700</v>
      </c>
      <c r="J6" s="2">
        <f>'P&amp;L'!J6</f>
        <v>13940</v>
      </c>
      <c r="K6" s="2">
        <f>'P&amp;L'!K6</f>
        <v>17720</v>
      </c>
      <c r="L6" s="2">
        <f>'P&amp;L'!L6</f>
        <v>22040</v>
      </c>
      <c r="M6" s="2">
        <f>'P&amp;L'!M6</f>
        <v>26900</v>
      </c>
      <c r="N6" s="2">
        <f>'P&amp;L'!N6</f>
        <v>32300</v>
      </c>
      <c r="O6" s="2">
        <f>'P&amp;L'!O6</f>
        <v>40940</v>
      </c>
      <c r="P6" s="2">
        <f>'P&amp;L'!P6</f>
        <v>47870</v>
      </c>
      <c r="Q6" s="2">
        <f>'P&amp;L'!Q6</f>
        <v>55377.5</v>
      </c>
      <c r="R6" s="2">
        <f>'P&amp;L'!R6</f>
        <v>64000</v>
      </c>
      <c r="S6" s="2">
        <f>'P&amp;L'!S6</f>
        <v>73737.5</v>
      </c>
      <c r="T6" s="2">
        <f>'P&amp;L'!T6</f>
        <v>85127.5</v>
      </c>
      <c r="U6" s="2">
        <f>'P&amp;L'!U6</f>
        <v>1000005</v>
      </c>
      <c r="V6" s="2">
        <f>'P&amp;L'!V6</f>
        <v>3655530</v>
      </c>
      <c r="W6" s="2">
        <f>'P&amp;L'!W6</f>
        <v>7111530</v>
      </c>
      <c r="X6" s="2">
        <f>'P&amp;L'!X6</f>
        <v>12622530</v>
      </c>
    </row>
    <row r="7" spans="1:24" ht="12.75">
      <c r="A7" s="24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</row>
    <row r="8" spans="1:24" ht="12.75">
      <c r="A8" s="148" t="s">
        <v>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</row>
    <row r="9" spans="1:24" s="108" customFormat="1" ht="12.75">
      <c r="A9" s="242" t="s">
        <v>5</v>
      </c>
      <c r="B9" s="232"/>
      <c r="C9" s="243">
        <f aca="true" t="shared" si="0" ref="C9:X9">(C10/365)*C6</f>
        <v>0</v>
      </c>
      <c r="D9" s="243">
        <f t="shared" si="0"/>
        <v>0</v>
      </c>
      <c r="E9" s="243">
        <f t="shared" si="0"/>
        <v>0</v>
      </c>
      <c r="F9" s="243">
        <f t="shared" si="0"/>
        <v>0</v>
      </c>
      <c r="G9" s="243">
        <f t="shared" si="0"/>
        <v>0</v>
      </c>
      <c r="H9" s="243">
        <f t="shared" si="0"/>
        <v>1315.0684931506848</v>
      </c>
      <c r="I9" s="243">
        <f t="shared" si="0"/>
        <v>1758.904109589041</v>
      </c>
      <c r="J9" s="243">
        <f t="shared" si="0"/>
        <v>2291.5068493150684</v>
      </c>
      <c r="K9" s="243">
        <f t="shared" si="0"/>
        <v>2912.876712328767</v>
      </c>
      <c r="L9" s="243">
        <f t="shared" si="0"/>
        <v>3623.013698630137</v>
      </c>
      <c r="M9" s="243">
        <f t="shared" si="0"/>
        <v>4421.9178082191775</v>
      </c>
      <c r="N9" s="243">
        <f t="shared" si="0"/>
        <v>5309.58904109589</v>
      </c>
      <c r="O9" s="243">
        <f t="shared" si="0"/>
        <v>6729.863013698629</v>
      </c>
      <c r="P9" s="243">
        <f t="shared" si="0"/>
        <v>7869.04109589041</v>
      </c>
      <c r="Q9" s="243">
        <f t="shared" si="0"/>
        <v>9103.150684931506</v>
      </c>
      <c r="R9" s="243">
        <f t="shared" si="0"/>
        <v>10520.547945205479</v>
      </c>
      <c r="S9" s="243">
        <f t="shared" si="0"/>
        <v>12121.232876712327</v>
      </c>
      <c r="T9" s="243">
        <f t="shared" si="0"/>
        <v>13993.561643835616</v>
      </c>
      <c r="U9" s="243">
        <f t="shared" si="0"/>
        <v>164384.38356164383</v>
      </c>
      <c r="V9" s="243">
        <f t="shared" si="0"/>
        <v>600909.0410958903</v>
      </c>
      <c r="W9" s="243">
        <f t="shared" si="0"/>
        <v>1169018.6301369863</v>
      </c>
      <c r="X9" s="243">
        <f t="shared" si="0"/>
        <v>1556202.3287671232</v>
      </c>
    </row>
    <row r="10" spans="1:24" s="108" customFormat="1" ht="12.75">
      <c r="A10" s="242" t="s">
        <v>4</v>
      </c>
      <c r="B10" s="232"/>
      <c r="C10" s="244">
        <v>60</v>
      </c>
      <c r="D10" s="244">
        <v>60</v>
      </c>
      <c r="E10" s="244">
        <v>60</v>
      </c>
      <c r="F10" s="244">
        <v>60</v>
      </c>
      <c r="G10" s="244">
        <v>60</v>
      </c>
      <c r="H10" s="244">
        <v>60</v>
      </c>
      <c r="I10" s="244">
        <v>60</v>
      </c>
      <c r="J10" s="244">
        <v>60</v>
      </c>
      <c r="K10" s="244">
        <v>60</v>
      </c>
      <c r="L10" s="244">
        <v>60</v>
      </c>
      <c r="M10" s="244">
        <v>60</v>
      </c>
      <c r="N10" s="244">
        <v>60</v>
      </c>
      <c r="O10" s="244">
        <v>60</v>
      </c>
      <c r="P10" s="244">
        <v>60</v>
      </c>
      <c r="Q10" s="244">
        <v>60</v>
      </c>
      <c r="R10" s="244">
        <v>60</v>
      </c>
      <c r="S10" s="244">
        <v>60</v>
      </c>
      <c r="T10" s="244">
        <v>60</v>
      </c>
      <c r="U10" s="244">
        <v>60</v>
      </c>
      <c r="V10" s="244">
        <v>60</v>
      </c>
      <c r="W10" s="244">
        <v>60</v>
      </c>
      <c r="X10" s="244">
        <v>45</v>
      </c>
    </row>
    <row r="11" spans="1:24" s="108" customFormat="1" ht="12.75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</row>
    <row r="12" spans="1:24" s="108" customFormat="1" ht="12.75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s="108" customFormat="1" ht="12.75">
      <c r="A13" s="148" t="s">
        <v>3</v>
      </c>
      <c r="B13" s="238"/>
      <c r="C13" s="238">
        <f>Expenses!D62+Expenses!D63</f>
        <v>2000</v>
      </c>
      <c r="D13" s="238">
        <f>Expenses!E62+Expenses!E63</f>
        <v>12000</v>
      </c>
      <c r="E13" s="238">
        <f>Expenses!F62+Expenses!F63</f>
        <v>2000</v>
      </c>
      <c r="F13" s="238">
        <f>Expenses!G62+Expenses!G63</f>
        <v>2000</v>
      </c>
      <c r="G13" s="238">
        <f>Expenses!H62+Expenses!H63</f>
        <v>2000</v>
      </c>
      <c r="H13" s="238">
        <f>Expenses!I62+Expenses!I63</f>
        <v>2000</v>
      </c>
      <c r="I13" s="238">
        <f>Expenses!J62+Expenses!J63</f>
        <v>17000</v>
      </c>
      <c r="J13" s="238">
        <f>Expenses!K62+Expenses!K63</f>
        <v>12000</v>
      </c>
      <c r="K13" s="238">
        <f>Expenses!L62+Expenses!L63</f>
        <v>12000</v>
      </c>
      <c r="L13" s="238">
        <f>Expenses!M62+Expenses!M63</f>
        <v>12000</v>
      </c>
      <c r="M13" s="238">
        <f>Expenses!N62+Expenses!N63</f>
        <v>12000</v>
      </c>
      <c r="N13" s="238">
        <f>Expenses!O62+Expenses!O63</f>
        <v>12000</v>
      </c>
      <c r="O13" s="238">
        <f>Expenses!P62+Expenses!P63</f>
        <v>17000</v>
      </c>
      <c r="P13" s="238">
        <f>Expenses!Q62+Expenses!Q63</f>
        <v>12000</v>
      </c>
      <c r="Q13" s="238">
        <f>Expenses!R62+Expenses!R63</f>
        <v>12000</v>
      </c>
      <c r="R13" s="238">
        <f>Expenses!S62+Expenses!S63</f>
        <v>12000</v>
      </c>
      <c r="S13" s="238">
        <f>Expenses!T62+Expenses!T63</f>
        <v>12000</v>
      </c>
      <c r="T13" s="238">
        <f>Expenses!U62+Expenses!U63</f>
        <v>12000</v>
      </c>
      <c r="U13" s="238">
        <f>Expenses!V62+Expenses!V63</f>
        <v>55000</v>
      </c>
      <c r="V13" s="238">
        <f>Expenses!W62+Expenses!W63</f>
        <v>330000</v>
      </c>
      <c r="W13" s="238">
        <f>Expenses!X62+Expenses!X63</f>
        <v>300000</v>
      </c>
      <c r="X13" s="238">
        <f>Expenses!Y62+Expenses!Y63</f>
        <v>380000</v>
      </c>
    </row>
    <row r="14" spans="1:24" ht="12.75">
      <c r="A14" s="242" t="s">
        <v>6</v>
      </c>
      <c r="B14" s="232"/>
      <c r="C14" s="243">
        <f aca="true" t="shared" si="1" ref="C14:X14">(C15/365)*C13</f>
        <v>109.58904109589041</v>
      </c>
      <c r="D14" s="243">
        <f t="shared" si="1"/>
        <v>657.5342465753424</v>
      </c>
      <c r="E14" s="243">
        <f t="shared" si="1"/>
        <v>109.58904109589041</v>
      </c>
      <c r="F14" s="243">
        <f t="shared" si="1"/>
        <v>109.58904109589041</v>
      </c>
      <c r="G14" s="243">
        <f t="shared" si="1"/>
        <v>109.58904109589041</v>
      </c>
      <c r="H14" s="243">
        <f t="shared" si="1"/>
        <v>109.58904109589041</v>
      </c>
      <c r="I14" s="243">
        <f t="shared" si="1"/>
        <v>931.5068493150684</v>
      </c>
      <c r="J14" s="243">
        <f t="shared" si="1"/>
        <v>657.5342465753424</v>
      </c>
      <c r="K14" s="243">
        <f t="shared" si="1"/>
        <v>657.5342465753424</v>
      </c>
      <c r="L14" s="243">
        <f t="shared" si="1"/>
        <v>657.5342465753424</v>
      </c>
      <c r="M14" s="243">
        <f t="shared" si="1"/>
        <v>657.5342465753424</v>
      </c>
      <c r="N14" s="243">
        <f t="shared" si="1"/>
        <v>657.5342465753424</v>
      </c>
      <c r="O14" s="243">
        <f t="shared" si="1"/>
        <v>931.5068493150684</v>
      </c>
      <c r="P14" s="243">
        <f t="shared" si="1"/>
        <v>657.5342465753424</v>
      </c>
      <c r="Q14" s="243">
        <f t="shared" si="1"/>
        <v>657.5342465753424</v>
      </c>
      <c r="R14" s="243">
        <f t="shared" si="1"/>
        <v>657.5342465753424</v>
      </c>
      <c r="S14" s="243">
        <f t="shared" si="1"/>
        <v>657.5342465753424</v>
      </c>
      <c r="T14" s="243">
        <f t="shared" si="1"/>
        <v>657.5342465753424</v>
      </c>
      <c r="U14" s="243">
        <f t="shared" si="1"/>
        <v>3013.698630136986</v>
      </c>
      <c r="V14" s="243">
        <f t="shared" si="1"/>
        <v>18082.191780821915</v>
      </c>
      <c r="W14" s="243">
        <f t="shared" si="1"/>
        <v>16438.35616438356</v>
      </c>
      <c r="X14" s="243">
        <f t="shared" si="1"/>
        <v>20821.917808219176</v>
      </c>
    </row>
    <row r="15" spans="1:24" ht="12.75">
      <c r="A15" s="242" t="s">
        <v>4</v>
      </c>
      <c r="B15" s="232"/>
      <c r="C15" s="245">
        <v>20</v>
      </c>
      <c r="D15" s="245">
        <v>20</v>
      </c>
      <c r="E15" s="245">
        <v>20</v>
      </c>
      <c r="F15" s="245">
        <v>20</v>
      </c>
      <c r="G15" s="245">
        <v>20</v>
      </c>
      <c r="H15" s="245">
        <v>20</v>
      </c>
      <c r="I15" s="245">
        <v>20</v>
      </c>
      <c r="J15" s="245">
        <v>20</v>
      </c>
      <c r="K15" s="245">
        <v>20</v>
      </c>
      <c r="L15" s="245">
        <v>20</v>
      </c>
      <c r="M15" s="245">
        <v>20</v>
      </c>
      <c r="N15" s="245">
        <v>20</v>
      </c>
      <c r="O15" s="245">
        <v>20</v>
      </c>
      <c r="P15" s="245">
        <v>20</v>
      </c>
      <c r="Q15" s="245">
        <v>20</v>
      </c>
      <c r="R15" s="245">
        <v>20</v>
      </c>
      <c r="S15" s="245">
        <v>20</v>
      </c>
      <c r="T15" s="245">
        <v>20</v>
      </c>
      <c r="U15" s="245">
        <v>20</v>
      </c>
      <c r="V15" s="245">
        <v>20</v>
      </c>
      <c r="W15" s="245">
        <v>20</v>
      </c>
      <c r="X15" s="245">
        <v>20</v>
      </c>
    </row>
    <row r="16" spans="1:24" ht="12.7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</row>
    <row r="17" spans="1:24" ht="12.7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</row>
    <row r="18" spans="1:24" ht="12.75">
      <c r="A18" s="227" t="s">
        <v>7</v>
      </c>
      <c r="B18" s="232"/>
      <c r="C18" s="243">
        <f aca="true" t="shared" si="2" ref="C18:X18">C9-C14</f>
        <v>-109.58904109589041</v>
      </c>
      <c r="D18" s="243">
        <f t="shared" si="2"/>
        <v>-657.5342465753424</v>
      </c>
      <c r="E18" s="243">
        <f t="shared" si="2"/>
        <v>-109.58904109589041</v>
      </c>
      <c r="F18" s="243">
        <f t="shared" si="2"/>
        <v>-109.58904109589041</v>
      </c>
      <c r="G18" s="243">
        <f t="shared" si="2"/>
        <v>-109.58904109589041</v>
      </c>
      <c r="H18" s="243">
        <f t="shared" si="2"/>
        <v>1205.4794520547944</v>
      </c>
      <c r="I18" s="243">
        <f t="shared" si="2"/>
        <v>827.3972602739725</v>
      </c>
      <c r="J18" s="243">
        <f t="shared" si="2"/>
        <v>1633.972602739726</v>
      </c>
      <c r="K18" s="243">
        <f t="shared" si="2"/>
        <v>2255.3424657534247</v>
      </c>
      <c r="L18" s="243">
        <f t="shared" si="2"/>
        <v>2965.4794520547944</v>
      </c>
      <c r="M18" s="243">
        <f t="shared" si="2"/>
        <v>3764.383561643835</v>
      </c>
      <c r="N18" s="243">
        <f t="shared" si="2"/>
        <v>4652.054794520547</v>
      </c>
      <c r="O18" s="243">
        <f t="shared" si="2"/>
        <v>5798.356164383561</v>
      </c>
      <c r="P18" s="243">
        <f t="shared" si="2"/>
        <v>7211.506849315068</v>
      </c>
      <c r="Q18" s="243">
        <f t="shared" si="2"/>
        <v>8445.616438356165</v>
      </c>
      <c r="R18" s="243">
        <f t="shared" si="2"/>
        <v>9863.013698630137</v>
      </c>
      <c r="S18" s="243">
        <f t="shared" si="2"/>
        <v>11463.698630136985</v>
      </c>
      <c r="T18" s="243">
        <f t="shared" si="2"/>
        <v>13336.027397260274</v>
      </c>
      <c r="U18" s="243">
        <f t="shared" si="2"/>
        <v>161370.68493150684</v>
      </c>
      <c r="V18" s="243">
        <f t="shared" si="2"/>
        <v>582826.8493150685</v>
      </c>
      <c r="W18" s="243">
        <f t="shared" si="2"/>
        <v>1152580.2739726028</v>
      </c>
      <c r="X18" s="243">
        <f t="shared" si="2"/>
        <v>1535380.410958904</v>
      </c>
    </row>
    <row r="19" spans="1:24" ht="12.75">
      <c r="A19" s="232" t="s">
        <v>4</v>
      </c>
      <c r="B19" s="232"/>
      <c r="C19" s="246"/>
      <c r="D19" s="246"/>
      <c r="E19" s="246"/>
      <c r="F19" s="246"/>
      <c r="G19" s="246"/>
      <c r="H19" s="246">
        <f aca="true" t="shared" si="3" ref="H19:X19">(H18/H6)*365</f>
        <v>55</v>
      </c>
      <c r="I19" s="246">
        <f t="shared" si="3"/>
        <v>28.224299065420556</v>
      </c>
      <c r="J19" s="246">
        <f t="shared" si="3"/>
        <v>42.78335724533716</v>
      </c>
      <c r="K19" s="246">
        <f t="shared" si="3"/>
        <v>46.455981941309254</v>
      </c>
      <c r="L19" s="246">
        <f t="shared" si="3"/>
        <v>49.11070780399274</v>
      </c>
      <c r="M19" s="246">
        <f t="shared" si="3"/>
        <v>51.07806691449813</v>
      </c>
      <c r="N19" s="246">
        <f t="shared" si="3"/>
        <v>52.56965944272445</v>
      </c>
      <c r="O19" s="246">
        <f t="shared" si="3"/>
        <v>51.69516365412799</v>
      </c>
      <c r="P19" s="246">
        <f t="shared" si="3"/>
        <v>54.9864215583873</v>
      </c>
      <c r="Q19" s="246">
        <f t="shared" si="3"/>
        <v>55.66610988217237</v>
      </c>
      <c r="R19" s="246">
        <f t="shared" si="3"/>
        <v>56.25</v>
      </c>
      <c r="S19" s="246">
        <f t="shared" si="3"/>
        <v>56.74521105272079</v>
      </c>
      <c r="T19" s="246">
        <f t="shared" si="3"/>
        <v>57.1806995389269</v>
      </c>
      <c r="U19" s="246">
        <f t="shared" si="3"/>
        <v>58.900005499972494</v>
      </c>
      <c r="V19" s="246">
        <f t="shared" si="3"/>
        <v>58.19451625345708</v>
      </c>
      <c r="W19" s="246">
        <f t="shared" si="3"/>
        <v>59.156299699220845</v>
      </c>
      <c r="X19" s="246">
        <f t="shared" si="3"/>
        <v>44.397902005382434</v>
      </c>
    </row>
    <row r="20" spans="1:24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</row>
    <row r="21" spans="1:24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</row>
    <row r="22" spans="1:24" ht="12.75">
      <c r="A22" s="232" t="s">
        <v>58</v>
      </c>
      <c r="B22" s="232"/>
      <c r="C22" s="238">
        <f>'Cash Flow'!B40</f>
        <v>492231.83904109587</v>
      </c>
      <c r="D22" s="238">
        <f>'Cash Flow'!C40</f>
        <v>464273.7632876712</v>
      </c>
      <c r="E22" s="238">
        <f>'Cash Flow'!D40</f>
        <v>432533.9523287671</v>
      </c>
      <c r="F22" s="238">
        <f>'Cash Flow'!E40</f>
        <v>404294.141369863</v>
      </c>
      <c r="G22" s="238">
        <f>'Cash Flow'!F40</f>
        <v>376054.3304109589</v>
      </c>
      <c r="H22" s="238">
        <f>'Cash Flow'!G40</f>
        <v>351699.4509589041</v>
      </c>
      <c r="I22" s="238">
        <f>'Cash Flow'!H40</f>
        <v>318945.0286986301</v>
      </c>
      <c r="J22" s="238">
        <f>'Cash Flow'!I40</f>
        <v>272039.73942922376</v>
      </c>
      <c r="K22" s="238">
        <f>'Cash Flow'!J40</f>
        <v>229854.08029680364</v>
      </c>
      <c r="L22" s="238">
        <f>'Cash Flow'!K40</f>
        <v>183247.0341780822</v>
      </c>
      <c r="M22" s="238">
        <f>'Cash Flow'!L40</f>
        <v>136289.33394977165</v>
      </c>
      <c r="N22" s="238">
        <f>'Cash Flow'!M40</f>
        <v>93654.96248858445</v>
      </c>
      <c r="O22" s="238">
        <f>'Cash Flow'!N40</f>
        <v>1020328.0210117009</v>
      </c>
      <c r="P22" s="238">
        <f>'Cash Flow'!O40</f>
        <v>924764.5662457192</v>
      </c>
      <c r="Q22" s="238">
        <f>'Cash Flow'!P40</f>
        <v>837022.3768906964</v>
      </c>
      <c r="R22" s="238">
        <f>'Cash Flow'!Q40</f>
        <v>756095.0402753996</v>
      </c>
      <c r="S22" s="238">
        <f>'Cash Flow'!R40</f>
        <v>682914.2687285959</v>
      </c>
      <c r="T22" s="238">
        <f>'Cash Flow'!S40</f>
        <v>618672.7934146689</v>
      </c>
      <c r="U22" s="238">
        <f>'Cash Flow'!T40</f>
        <v>585304.013170662</v>
      </c>
      <c r="V22" s="238">
        <f>'Cash Flow'!U40</f>
        <v>796984.7419805934</v>
      </c>
      <c r="W22" s="238">
        <f>'Cash Flow'!V40</f>
        <v>3142245.1112683713</v>
      </c>
      <c r="X22" s="238">
        <f>'Cash Flow'!W40</f>
        <v>9521518.192055507</v>
      </c>
    </row>
  </sheetData>
  <sheetProtection/>
  <printOptions horizontalCentered="1"/>
  <pageMargins left="0.5" right="0.5" top="2" bottom="1" header="0.5" footer="0.5"/>
  <pageSetup fitToWidth="2" horizontalDpi="600" verticalDpi="600" orientation="landscape" scale="77" r:id="rId1"/>
  <headerFooter alignWithMargins="0">
    <oddHeader>&amp;LConfidential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4"/>
  <sheetViews>
    <sheetView workbookViewId="0" topLeftCell="A1">
      <selection activeCell="A1" sqref="A1"/>
    </sheetView>
  </sheetViews>
  <sheetFormatPr defaultColWidth="8.8515625" defaultRowHeight="12.75"/>
  <cols>
    <col min="1" max="1" width="22.00390625" style="100" customWidth="1"/>
    <col min="2" max="2" width="19.8515625" style="121" bestFit="1" customWidth="1"/>
    <col min="3" max="3" width="3.8515625" style="122" customWidth="1"/>
    <col min="4" max="15" width="8.7109375" style="122" bestFit="1" customWidth="1"/>
    <col min="16" max="22" width="9.7109375" style="122" bestFit="1" customWidth="1"/>
    <col min="23" max="25" width="11.28125" style="102" bestFit="1" customWidth="1"/>
    <col min="26" max="26" width="8.8515625" style="102" customWidth="1"/>
    <col min="27" max="30" width="10.140625" style="102" bestFit="1" customWidth="1"/>
    <col min="31" max="31" width="11.140625" style="102" bestFit="1" customWidth="1"/>
    <col min="32" max="16384" width="8.8515625" style="102" customWidth="1"/>
  </cols>
  <sheetData>
    <row r="1" ht="12.75">
      <c r="A1" s="14" t="s">
        <v>320</v>
      </c>
    </row>
    <row r="2" spans="1:22" s="125" customFormat="1" ht="12.75">
      <c r="A2" s="200" t="s">
        <v>161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3:25" ht="12.75">
      <c r="C3" s="107"/>
      <c r="D3" s="211" t="s">
        <v>294</v>
      </c>
      <c r="E3" s="211" t="s">
        <v>294</v>
      </c>
      <c r="F3" s="211" t="s">
        <v>294</v>
      </c>
      <c r="G3" s="211" t="s">
        <v>294</v>
      </c>
      <c r="H3" s="211" t="s">
        <v>294</v>
      </c>
      <c r="I3" s="211" t="s">
        <v>294</v>
      </c>
      <c r="J3" s="211" t="s">
        <v>294</v>
      </c>
      <c r="K3" s="211" t="s">
        <v>294</v>
      </c>
      <c r="L3" s="211" t="s">
        <v>294</v>
      </c>
      <c r="M3" s="211" t="s">
        <v>294</v>
      </c>
      <c r="N3" s="211" t="s">
        <v>294</v>
      </c>
      <c r="O3" s="211" t="s">
        <v>294</v>
      </c>
      <c r="P3" s="211" t="s">
        <v>294</v>
      </c>
      <c r="Q3" s="211" t="s">
        <v>294</v>
      </c>
      <c r="R3" s="211" t="s">
        <v>294</v>
      </c>
      <c r="S3" s="211" t="s">
        <v>294</v>
      </c>
      <c r="T3" s="211" t="s">
        <v>294</v>
      </c>
      <c r="U3" s="211" t="s">
        <v>294</v>
      </c>
      <c r="V3" s="211" t="s">
        <v>295</v>
      </c>
      <c r="W3" s="107"/>
      <c r="X3" s="107"/>
      <c r="Y3" s="107"/>
    </row>
    <row r="4" spans="2:25" ht="12.75">
      <c r="B4" s="126"/>
      <c r="C4" s="127"/>
      <c r="D4" s="210">
        <v>1</v>
      </c>
      <c r="E4" s="210">
        <v>2</v>
      </c>
      <c r="F4" s="210">
        <v>3</v>
      </c>
      <c r="G4" s="210">
        <v>4</v>
      </c>
      <c r="H4" s="210">
        <v>5</v>
      </c>
      <c r="I4" s="210">
        <v>6</v>
      </c>
      <c r="J4" s="210">
        <v>7</v>
      </c>
      <c r="K4" s="210">
        <v>8</v>
      </c>
      <c r="L4" s="210">
        <v>9</v>
      </c>
      <c r="M4" s="210">
        <v>10</v>
      </c>
      <c r="N4" s="210">
        <v>11</v>
      </c>
      <c r="O4" s="210">
        <v>12</v>
      </c>
      <c r="P4" s="210">
        <v>13</v>
      </c>
      <c r="Q4" s="210">
        <v>14</v>
      </c>
      <c r="R4" s="210">
        <v>15</v>
      </c>
      <c r="S4" s="210">
        <v>16</v>
      </c>
      <c r="T4" s="210">
        <v>17</v>
      </c>
      <c r="U4" s="210">
        <v>18</v>
      </c>
      <c r="V4" s="212" t="s">
        <v>250</v>
      </c>
      <c r="W4" s="103" t="s">
        <v>147</v>
      </c>
      <c r="X4" s="103" t="s">
        <v>148</v>
      </c>
      <c r="Y4" s="103" t="s">
        <v>149</v>
      </c>
    </row>
    <row r="5" spans="1:25" ht="12.75">
      <c r="A5" s="101" t="s">
        <v>225</v>
      </c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03"/>
      <c r="X5" s="103"/>
      <c r="Y5" s="103"/>
    </row>
    <row r="6" spans="2:25" ht="12.75">
      <c r="B6" s="205" t="s">
        <v>251</v>
      </c>
      <c r="C6" s="138"/>
      <c r="D6" s="191">
        <f>'Salaries '!F13+'Salaries '!E13</f>
        <v>1000</v>
      </c>
      <c r="E6" s="191">
        <f>'Salaries '!J13+'Salaries '!I13</f>
        <v>2000</v>
      </c>
      <c r="F6" s="191">
        <f>'Salaries '!N13+'Salaries '!M13</f>
        <v>2000</v>
      </c>
      <c r="G6" s="191">
        <f>'Salaries '!R13+'Salaries '!Q13</f>
        <v>2000</v>
      </c>
      <c r="H6" s="191">
        <f>'Salaries '!V13+'Salaries '!U13</f>
        <v>2000</v>
      </c>
      <c r="I6" s="191">
        <f>'Salaries '!Z13+'Salaries '!Y13</f>
        <v>2000</v>
      </c>
      <c r="J6" s="191">
        <f>'Salaries '!AD13+'Salaries '!AC13</f>
        <v>6000</v>
      </c>
      <c r="K6" s="191">
        <f>'Salaries '!AH13+'Salaries '!AG13</f>
        <v>6000</v>
      </c>
      <c r="L6" s="191">
        <f>'Salaries '!AL13+'Salaries '!AK13</f>
        <v>6000</v>
      </c>
      <c r="M6" s="191">
        <f>'Salaries '!AP13+'Salaries '!AO13</f>
        <v>10000</v>
      </c>
      <c r="N6" s="191">
        <f>'Salaries '!AT13+'Salaries '!AS13</f>
        <v>10000</v>
      </c>
      <c r="O6" s="191">
        <f>'Salaries '!AX13+'Salaries '!AW13</f>
        <v>10000</v>
      </c>
      <c r="P6" s="191">
        <f>'Salaries '!BB13+'Salaries '!BA13</f>
        <v>26000</v>
      </c>
      <c r="Q6" s="191">
        <f>'Salaries '!BF13+'Salaries '!BE13</f>
        <v>26000</v>
      </c>
      <c r="R6" s="191">
        <f>'Salaries '!BJ13+'Salaries '!BI13</f>
        <v>26000</v>
      </c>
      <c r="S6" s="191">
        <f>'Salaries '!BM13+'Salaries '!BN13</f>
        <v>26000</v>
      </c>
      <c r="T6" s="191">
        <f>'Salaries '!BQ13+'Salaries '!BR13</f>
        <v>26000</v>
      </c>
      <c r="U6" s="191">
        <f>'Salaries '!BV13+'Salaries '!BU13</f>
        <v>26000</v>
      </c>
      <c r="V6" s="191">
        <f>'Salaries '!BY13+'Salaries '!BZ13</f>
        <v>162500</v>
      </c>
      <c r="W6" s="191">
        <f>'Salaries '!CC13+'Salaries '!CD13</f>
        <v>381250</v>
      </c>
      <c r="X6" s="191">
        <f>'Salaries '!CG13+'Salaries '!CH13</f>
        <v>400312.5</v>
      </c>
      <c r="Y6" s="191">
        <f>'Salaries '!CK13+'Salaries '!CL13</f>
        <v>419375</v>
      </c>
    </row>
    <row r="7" spans="1:25" ht="12.75">
      <c r="A7" s="130">
        <v>0.2</v>
      </c>
      <c r="B7" s="139" t="s">
        <v>205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91"/>
      <c r="W7" s="191"/>
      <c r="X7" s="191"/>
      <c r="Y7" s="191">
        <f>(Y6-X6)*$A$7</f>
        <v>3812.5</v>
      </c>
    </row>
    <row r="8" spans="1:25" ht="12.75">
      <c r="A8" s="133">
        <v>0.15</v>
      </c>
      <c r="B8" s="137" t="s">
        <v>206</v>
      </c>
      <c r="C8" s="138"/>
      <c r="D8" s="191">
        <f aca="true" t="shared" si="0" ref="D8:Y8">D6*$A$8</f>
        <v>150</v>
      </c>
      <c r="E8" s="191">
        <f t="shared" si="0"/>
        <v>300</v>
      </c>
      <c r="F8" s="191">
        <f t="shared" si="0"/>
        <v>300</v>
      </c>
      <c r="G8" s="191">
        <f t="shared" si="0"/>
        <v>300</v>
      </c>
      <c r="H8" s="191">
        <f t="shared" si="0"/>
        <v>300</v>
      </c>
      <c r="I8" s="191">
        <f t="shared" si="0"/>
        <v>300</v>
      </c>
      <c r="J8" s="191">
        <f t="shared" si="0"/>
        <v>900</v>
      </c>
      <c r="K8" s="191">
        <f t="shared" si="0"/>
        <v>900</v>
      </c>
      <c r="L8" s="191">
        <f t="shared" si="0"/>
        <v>900</v>
      </c>
      <c r="M8" s="191">
        <f t="shared" si="0"/>
        <v>1500</v>
      </c>
      <c r="N8" s="191">
        <f t="shared" si="0"/>
        <v>1500</v>
      </c>
      <c r="O8" s="191">
        <f t="shared" si="0"/>
        <v>1500</v>
      </c>
      <c r="P8" s="191">
        <f t="shared" si="0"/>
        <v>3900</v>
      </c>
      <c r="Q8" s="191">
        <f t="shared" si="0"/>
        <v>3900</v>
      </c>
      <c r="R8" s="191">
        <f t="shared" si="0"/>
        <v>3900</v>
      </c>
      <c r="S8" s="191">
        <f t="shared" si="0"/>
        <v>3900</v>
      </c>
      <c r="T8" s="191">
        <f t="shared" si="0"/>
        <v>3900</v>
      </c>
      <c r="U8" s="191">
        <f t="shared" si="0"/>
        <v>3900</v>
      </c>
      <c r="V8" s="191">
        <f t="shared" si="0"/>
        <v>24375</v>
      </c>
      <c r="W8" s="191">
        <f t="shared" si="0"/>
        <v>57187.5</v>
      </c>
      <c r="X8" s="191">
        <f t="shared" si="0"/>
        <v>60046.875</v>
      </c>
      <c r="Y8" s="191">
        <f t="shared" si="0"/>
        <v>62906.25</v>
      </c>
    </row>
    <row r="9" spans="1:25" ht="12.75">
      <c r="A9" s="130"/>
      <c r="B9" s="139" t="s">
        <v>208</v>
      </c>
      <c r="C9" s="140"/>
      <c r="D9" s="192">
        <v>1000</v>
      </c>
      <c r="E9" s="192">
        <v>1000</v>
      </c>
      <c r="F9" s="192">
        <v>1000</v>
      </c>
      <c r="G9" s="192">
        <v>1000</v>
      </c>
      <c r="H9" s="192">
        <v>1000</v>
      </c>
      <c r="I9" s="192">
        <v>1000</v>
      </c>
      <c r="J9" s="192">
        <v>1000</v>
      </c>
      <c r="K9" s="192">
        <v>1000</v>
      </c>
      <c r="L9" s="192">
        <v>1000</v>
      </c>
      <c r="M9" s="192">
        <v>1000</v>
      </c>
      <c r="N9" s="192">
        <v>1000</v>
      </c>
      <c r="O9" s="192">
        <v>1000</v>
      </c>
      <c r="P9" s="192">
        <v>1000</v>
      </c>
      <c r="Q9" s="192">
        <v>1000</v>
      </c>
      <c r="R9" s="192">
        <v>1000</v>
      </c>
      <c r="S9" s="192">
        <v>1000</v>
      </c>
      <c r="T9" s="192">
        <v>1000</v>
      </c>
      <c r="U9" s="192">
        <v>1000</v>
      </c>
      <c r="V9" s="192">
        <v>25000</v>
      </c>
      <c r="W9" s="192">
        <v>100000</v>
      </c>
      <c r="X9" s="192">
        <v>50000</v>
      </c>
      <c r="Y9" s="192">
        <v>50000</v>
      </c>
    </row>
    <row r="10" spans="1:25" ht="12.75">
      <c r="A10" s="130"/>
      <c r="B10" s="139" t="s">
        <v>59</v>
      </c>
      <c r="C10" s="140"/>
      <c r="D10" s="192">
        <v>2500</v>
      </c>
      <c r="E10" s="192">
        <v>2500</v>
      </c>
      <c r="F10" s="192">
        <v>2500</v>
      </c>
      <c r="G10" s="192">
        <v>2500</v>
      </c>
      <c r="H10" s="192">
        <v>2500</v>
      </c>
      <c r="I10" s="192">
        <v>2500</v>
      </c>
      <c r="J10" s="192">
        <v>5000</v>
      </c>
      <c r="K10" s="192">
        <v>5000</v>
      </c>
      <c r="L10" s="192">
        <v>5000</v>
      </c>
      <c r="M10" s="192">
        <v>5000</v>
      </c>
      <c r="N10" s="192">
        <v>5000</v>
      </c>
      <c r="O10" s="192">
        <v>5000</v>
      </c>
      <c r="P10" s="192">
        <v>5000</v>
      </c>
      <c r="Q10" s="192">
        <v>5000</v>
      </c>
      <c r="R10" s="192">
        <v>5000</v>
      </c>
      <c r="S10" s="192">
        <v>5000</v>
      </c>
      <c r="T10" s="192">
        <v>5000</v>
      </c>
      <c r="U10" s="192">
        <v>5000</v>
      </c>
      <c r="V10" s="192">
        <v>5000</v>
      </c>
      <c r="W10" s="192">
        <v>25000</v>
      </c>
      <c r="X10" s="192">
        <v>25000</v>
      </c>
      <c r="Y10" s="192">
        <v>35000</v>
      </c>
    </row>
    <row r="11" spans="1:25" ht="15">
      <c r="A11" s="133">
        <v>0.02</v>
      </c>
      <c r="B11" s="137" t="s">
        <v>209</v>
      </c>
      <c r="C11" s="138"/>
      <c r="D11" s="193">
        <f aca="true" t="shared" si="1" ref="D11:Y11">D6*$A$11</f>
        <v>20</v>
      </c>
      <c r="E11" s="193">
        <f t="shared" si="1"/>
        <v>40</v>
      </c>
      <c r="F11" s="193">
        <f t="shared" si="1"/>
        <v>40</v>
      </c>
      <c r="G11" s="193">
        <f t="shared" si="1"/>
        <v>40</v>
      </c>
      <c r="H11" s="193">
        <f t="shared" si="1"/>
        <v>40</v>
      </c>
      <c r="I11" s="193">
        <f t="shared" si="1"/>
        <v>40</v>
      </c>
      <c r="J11" s="193">
        <f t="shared" si="1"/>
        <v>120</v>
      </c>
      <c r="K11" s="193">
        <f t="shared" si="1"/>
        <v>120</v>
      </c>
      <c r="L11" s="193">
        <f t="shared" si="1"/>
        <v>120</v>
      </c>
      <c r="M11" s="193">
        <f t="shared" si="1"/>
        <v>200</v>
      </c>
      <c r="N11" s="193">
        <f t="shared" si="1"/>
        <v>200</v>
      </c>
      <c r="O11" s="193">
        <f t="shared" si="1"/>
        <v>200</v>
      </c>
      <c r="P11" s="193">
        <f t="shared" si="1"/>
        <v>520</v>
      </c>
      <c r="Q11" s="193">
        <f t="shared" si="1"/>
        <v>520</v>
      </c>
      <c r="R11" s="193">
        <f t="shared" si="1"/>
        <v>520</v>
      </c>
      <c r="S11" s="193">
        <f t="shared" si="1"/>
        <v>520</v>
      </c>
      <c r="T11" s="193">
        <f t="shared" si="1"/>
        <v>520</v>
      </c>
      <c r="U11" s="193">
        <f t="shared" si="1"/>
        <v>520</v>
      </c>
      <c r="V11" s="193">
        <f t="shared" si="1"/>
        <v>3250</v>
      </c>
      <c r="W11" s="193">
        <f t="shared" si="1"/>
        <v>7625</v>
      </c>
      <c r="X11" s="193">
        <f t="shared" si="1"/>
        <v>8006.25</v>
      </c>
      <c r="Y11" s="193">
        <f t="shared" si="1"/>
        <v>8387.5</v>
      </c>
    </row>
    <row r="12" spans="2:25" ht="12.75">
      <c r="B12" s="128" t="s">
        <v>211</v>
      </c>
      <c r="C12" s="129"/>
      <c r="D12" s="191">
        <f aca="true" t="shared" si="2" ref="D12:Y12">SUM(D6:D11)</f>
        <v>4670</v>
      </c>
      <c r="E12" s="191">
        <f t="shared" si="2"/>
        <v>5840</v>
      </c>
      <c r="F12" s="191">
        <f t="shared" si="2"/>
        <v>5840</v>
      </c>
      <c r="G12" s="191">
        <f t="shared" si="2"/>
        <v>5840</v>
      </c>
      <c r="H12" s="191">
        <f t="shared" si="2"/>
        <v>5840</v>
      </c>
      <c r="I12" s="191">
        <f t="shared" si="2"/>
        <v>5840</v>
      </c>
      <c r="J12" s="191">
        <f t="shared" si="2"/>
        <v>13020</v>
      </c>
      <c r="K12" s="191">
        <f t="shared" si="2"/>
        <v>13020</v>
      </c>
      <c r="L12" s="191">
        <f t="shared" si="2"/>
        <v>13020</v>
      </c>
      <c r="M12" s="191">
        <f t="shared" si="2"/>
        <v>17700</v>
      </c>
      <c r="N12" s="191">
        <f t="shared" si="2"/>
        <v>17700</v>
      </c>
      <c r="O12" s="191">
        <f t="shared" si="2"/>
        <v>17700</v>
      </c>
      <c r="P12" s="191">
        <f t="shared" si="2"/>
        <v>36420</v>
      </c>
      <c r="Q12" s="191">
        <f t="shared" si="2"/>
        <v>36420</v>
      </c>
      <c r="R12" s="191">
        <f t="shared" si="2"/>
        <v>36420</v>
      </c>
      <c r="S12" s="191">
        <f t="shared" si="2"/>
        <v>36420</v>
      </c>
      <c r="T12" s="191">
        <f t="shared" si="2"/>
        <v>36420</v>
      </c>
      <c r="U12" s="191">
        <f t="shared" si="2"/>
        <v>36420</v>
      </c>
      <c r="V12" s="191">
        <f t="shared" si="2"/>
        <v>220125</v>
      </c>
      <c r="W12" s="191">
        <f t="shared" si="2"/>
        <v>571062.5</v>
      </c>
      <c r="X12" s="191">
        <f t="shared" si="2"/>
        <v>543365.625</v>
      </c>
      <c r="Y12" s="191">
        <f t="shared" si="2"/>
        <v>579481.25</v>
      </c>
    </row>
    <row r="13" spans="2:25" ht="12.75"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03"/>
      <c r="W13" s="103"/>
      <c r="X13" s="103"/>
      <c r="Y13" s="103"/>
    </row>
    <row r="14" spans="1:22" ht="12.75">
      <c r="A14" s="101" t="s">
        <v>240</v>
      </c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02"/>
    </row>
    <row r="15" spans="2:25" s="108" customFormat="1" ht="12.75">
      <c r="B15" s="205" t="s">
        <v>251</v>
      </c>
      <c r="C15" s="138"/>
      <c r="D15" s="191">
        <f>'Salaries '!F22+'Salaries '!E22</f>
        <v>0</v>
      </c>
      <c r="E15" s="191">
        <f>'Salaries '!J22+'Salaries '!I22</f>
        <v>2625</v>
      </c>
      <c r="F15" s="191">
        <f>'Salaries '!N22+'Salaries '!M22</f>
        <v>2625</v>
      </c>
      <c r="G15" s="191">
        <f>'Salaries '!R22+'Salaries '!Q22</f>
        <v>2625</v>
      </c>
      <c r="H15" s="191">
        <f>'Salaries '!V22+'Salaries '!U22</f>
        <v>2625</v>
      </c>
      <c r="I15" s="191">
        <f>'Salaries '!Z22+'Salaries '!Y22</f>
        <v>2625</v>
      </c>
      <c r="J15" s="191">
        <f>'Salaries '!AD22+'Salaries '!AC22</f>
        <v>2625</v>
      </c>
      <c r="K15" s="191">
        <f>'Salaries '!AH22+'Salaries '!AG22</f>
        <v>2625</v>
      </c>
      <c r="L15" s="191">
        <f>'Salaries '!AL22+'Salaries '!AK22</f>
        <v>2625</v>
      </c>
      <c r="M15" s="191">
        <f>'Salaries '!AP22+'Salaries '!AO22</f>
        <v>4375</v>
      </c>
      <c r="N15" s="191">
        <f>'Salaries '!AT22+'Salaries '!AS22</f>
        <v>4375</v>
      </c>
      <c r="O15" s="191">
        <f>'Salaries '!AX22+'Salaries '!AW22</f>
        <v>4375</v>
      </c>
      <c r="P15" s="191">
        <f>'Salaries '!BB22+'Salaries '!BA22</f>
        <v>10062.5</v>
      </c>
      <c r="Q15" s="191">
        <f>'Salaries '!BF22+'Salaries '!BE22</f>
        <v>10062.5</v>
      </c>
      <c r="R15" s="191">
        <f>'Salaries '!BJ22+'Salaries '!BI22</f>
        <v>10062.5</v>
      </c>
      <c r="S15" s="191">
        <f>'Salaries '!BM22+'Salaries '!BN22</f>
        <v>10062.5</v>
      </c>
      <c r="T15" s="191">
        <f>'Salaries '!BQ22+'Salaries '!BR22</f>
        <v>10062.5</v>
      </c>
      <c r="U15" s="191">
        <f>'Salaries '!BV22+'Salaries '!BU22</f>
        <v>10062.5</v>
      </c>
      <c r="V15" s="108">
        <f>'Salaries '!BY22+'Salaries '!BZ22</f>
        <v>62890.625</v>
      </c>
      <c r="W15" s="108">
        <f>'Salaries '!CC22+'Salaries '!CD22</f>
        <v>328906.25</v>
      </c>
      <c r="X15" s="108">
        <f>'Salaries '!CG22+'Salaries '!CH22</f>
        <v>470859.375</v>
      </c>
      <c r="Y15" s="108">
        <f>'Salaries '!CK22+'Salaries '!CL22</f>
        <v>701250</v>
      </c>
    </row>
    <row r="16" spans="1:25" s="131" customFormat="1" ht="12.75">
      <c r="A16" s="130">
        <v>0.2</v>
      </c>
      <c r="B16" s="139" t="s">
        <v>205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2"/>
      <c r="W16" s="132"/>
      <c r="X16" s="132">
        <f>(X15-W15)*$A$16</f>
        <v>28390.625</v>
      </c>
      <c r="Y16" s="132">
        <f>(Y15-X15)*$A$16</f>
        <v>46078.125</v>
      </c>
    </row>
    <row r="17" spans="1:25" s="108" customFormat="1" ht="12.75">
      <c r="A17" s="133">
        <v>0.4</v>
      </c>
      <c r="B17" s="137" t="s">
        <v>206</v>
      </c>
      <c r="C17" s="138"/>
      <c r="D17" s="108">
        <f aca="true" t="shared" si="3" ref="D17:Y17">$A$17*D15</f>
        <v>0</v>
      </c>
      <c r="E17" s="108">
        <f t="shared" si="3"/>
        <v>1050</v>
      </c>
      <c r="F17" s="108">
        <f t="shared" si="3"/>
        <v>1050</v>
      </c>
      <c r="G17" s="108">
        <f t="shared" si="3"/>
        <v>1050</v>
      </c>
      <c r="H17" s="108">
        <f t="shared" si="3"/>
        <v>1050</v>
      </c>
      <c r="I17" s="108">
        <f t="shared" si="3"/>
        <v>1050</v>
      </c>
      <c r="J17" s="108">
        <f t="shared" si="3"/>
        <v>1050</v>
      </c>
      <c r="K17" s="108">
        <f t="shared" si="3"/>
        <v>1050</v>
      </c>
      <c r="L17" s="108">
        <f t="shared" si="3"/>
        <v>1050</v>
      </c>
      <c r="M17" s="108">
        <f t="shared" si="3"/>
        <v>1750</v>
      </c>
      <c r="N17" s="108">
        <f t="shared" si="3"/>
        <v>1750</v>
      </c>
      <c r="O17" s="108">
        <f t="shared" si="3"/>
        <v>1750</v>
      </c>
      <c r="P17" s="108">
        <f t="shared" si="3"/>
        <v>4025</v>
      </c>
      <c r="Q17" s="108">
        <f t="shared" si="3"/>
        <v>4025</v>
      </c>
      <c r="R17" s="108">
        <f t="shared" si="3"/>
        <v>4025</v>
      </c>
      <c r="S17" s="108">
        <f t="shared" si="3"/>
        <v>4025</v>
      </c>
      <c r="T17" s="108">
        <f t="shared" si="3"/>
        <v>4025</v>
      </c>
      <c r="U17" s="108">
        <f t="shared" si="3"/>
        <v>4025</v>
      </c>
      <c r="V17" s="108">
        <f t="shared" si="3"/>
        <v>25156.25</v>
      </c>
      <c r="W17" s="108">
        <f t="shared" si="3"/>
        <v>131562.5</v>
      </c>
      <c r="X17" s="108">
        <f t="shared" si="3"/>
        <v>188343.75</v>
      </c>
      <c r="Y17" s="108">
        <f t="shared" si="3"/>
        <v>280500</v>
      </c>
    </row>
    <row r="18" spans="1:25" s="131" customFormat="1" ht="12.75">
      <c r="A18" s="130"/>
      <c r="B18" s="139" t="s">
        <v>207</v>
      </c>
      <c r="C18" s="140"/>
      <c r="D18" s="132">
        <v>0</v>
      </c>
      <c r="E18" s="132">
        <v>10000</v>
      </c>
      <c r="F18" s="132">
        <v>0</v>
      </c>
      <c r="G18" s="132">
        <v>0</v>
      </c>
      <c r="H18" s="132">
        <v>0</v>
      </c>
      <c r="I18" s="132">
        <v>0</v>
      </c>
      <c r="J18" s="132">
        <v>5000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5000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10000</v>
      </c>
      <c r="W18" s="132">
        <v>75000</v>
      </c>
      <c r="X18" s="132">
        <v>75000</v>
      </c>
      <c r="Y18" s="132">
        <v>100000</v>
      </c>
    </row>
    <row r="19" spans="1:25" s="131" customFormat="1" ht="12.75">
      <c r="A19" s="130"/>
      <c r="B19" s="139" t="s">
        <v>208</v>
      </c>
      <c r="C19" s="140"/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5000</v>
      </c>
      <c r="K19" s="132">
        <v>5000</v>
      </c>
      <c r="L19" s="132">
        <v>5000</v>
      </c>
      <c r="M19" s="132">
        <v>5000</v>
      </c>
      <c r="N19" s="132">
        <v>5000</v>
      </c>
      <c r="O19" s="132">
        <v>5000</v>
      </c>
      <c r="P19" s="132">
        <v>5000</v>
      </c>
      <c r="Q19" s="132">
        <v>5000</v>
      </c>
      <c r="R19" s="132">
        <v>5000</v>
      </c>
      <c r="S19" s="132">
        <v>5000</v>
      </c>
      <c r="T19" s="132">
        <v>5000</v>
      </c>
      <c r="U19" s="132">
        <v>5000</v>
      </c>
      <c r="V19" s="132">
        <v>10000</v>
      </c>
      <c r="W19" s="132">
        <v>75000</v>
      </c>
      <c r="X19" s="132">
        <v>75000</v>
      </c>
      <c r="Y19" s="132">
        <v>120000</v>
      </c>
    </row>
    <row r="20" spans="1:25" s="108" customFormat="1" ht="15">
      <c r="A20" s="133">
        <v>0.02</v>
      </c>
      <c r="B20" s="137" t="s">
        <v>209</v>
      </c>
      <c r="C20" s="138"/>
      <c r="D20" s="173">
        <f aca="true" t="shared" si="4" ref="D20:Y20">D15*$A$20</f>
        <v>0</v>
      </c>
      <c r="E20" s="173">
        <f t="shared" si="4"/>
        <v>52.5</v>
      </c>
      <c r="F20" s="173">
        <f t="shared" si="4"/>
        <v>52.5</v>
      </c>
      <c r="G20" s="173">
        <f t="shared" si="4"/>
        <v>52.5</v>
      </c>
      <c r="H20" s="173">
        <f t="shared" si="4"/>
        <v>52.5</v>
      </c>
      <c r="I20" s="173">
        <f t="shared" si="4"/>
        <v>52.5</v>
      </c>
      <c r="J20" s="173">
        <f t="shared" si="4"/>
        <v>52.5</v>
      </c>
      <c r="K20" s="173">
        <f t="shared" si="4"/>
        <v>52.5</v>
      </c>
      <c r="L20" s="173">
        <f t="shared" si="4"/>
        <v>52.5</v>
      </c>
      <c r="M20" s="173">
        <f t="shared" si="4"/>
        <v>87.5</v>
      </c>
      <c r="N20" s="173">
        <f t="shared" si="4"/>
        <v>87.5</v>
      </c>
      <c r="O20" s="173">
        <f t="shared" si="4"/>
        <v>87.5</v>
      </c>
      <c r="P20" s="173">
        <f t="shared" si="4"/>
        <v>201.25</v>
      </c>
      <c r="Q20" s="173">
        <f t="shared" si="4"/>
        <v>201.25</v>
      </c>
      <c r="R20" s="173">
        <f t="shared" si="4"/>
        <v>201.25</v>
      </c>
      <c r="S20" s="173">
        <f t="shared" si="4"/>
        <v>201.25</v>
      </c>
      <c r="T20" s="173">
        <f t="shared" si="4"/>
        <v>201.25</v>
      </c>
      <c r="U20" s="173">
        <f t="shared" si="4"/>
        <v>201.25</v>
      </c>
      <c r="V20" s="173">
        <f t="shared" si="4"/>
        <v>1257.8125</v>
      </c>
      <c r="W20" s="173">
        <f t="shared" si="4"/>
        <v>6578.125</v>
      </c>
      <c r="X20" s="173">
        <f t="shared" si="4"/>
        <v>9417.1875</v>
      </c>
      <c r="Y20" s="173">
        <f t="shared" si="4"/>
        <v>14025</v>
      </c>
    </row>
    <row r="21" spans="1:25" s="108" customFormat="1" ht="12.75">
      <c r="A21" s="100"/>
      <c r="B21" s="128" t="s">
        <v>211</v>
      </c>
      <c r="C21" s="129"/>
      <c r="D21" s="108">
        <f aca="true" t="shared" si="5" ref="D21:Y21">SUM(D15:D20)</f>
        <v>0</v>
      </c>
      <c r="E21" s="108">
        <f t="shared" si="5"/>
        <v>13727.5</v>
      </c>
      <c r="F21" s="108">
        <f t="shared" si="5"/>
        <v>3727.5</v>
      </c>
      <c r="G21" s="108">
        <f t="shared" si="5"/>
        <v>3727.5</v>
      </c>
      <c r="H21" s="108">
        <f t="shared" si="5"/>
        <v>3727.5</v>
      </c>
      <c r="I21" s="108">
        <f t="shared" si="5"/>
        <v>3727.5</v>
      </c>
      <c r="J21" s="108">
        <f t="shared" si="5"/>
        <v>13727.5</v>
      </c>
      <c r="K21" s="108">
        <f t="shared" si="5"/>
        <v>8727.5</v>
      </c>
      <c r="L21" s="108">
        <f t="shared" si="5"/>
        <v>8727.5</v>
      </c>
      <c r="M21" s="108">
        <f t="shared" si="5"/>
        <v>11212.5</v>
      </c>
      <c r="N21" s="108">
        <f t="shared" si="5"/>
        <v>11212.5</v>
      </c>
      <c r="O21" s="108">
        <f t="shared" si="5"/>
        <v>11212.5</v>
      </c>
      <c r="P21" s="108">
        <f t="shared" si="5"/>
        <v>24288.75</v>
      </c>
      <c r="Q21" s="108">
        <f t="shared" si="5"/>
        <v>19288.75</v>
      </c>
      <c r="R21" s="108">
        <f t="shared" si="5"/>
        <v>19288.75</v>
      </c>
      <c r="S21" s="108">
        <f t="shared" si="5"/>
        <v>19288.75</v>
      </c>
      <c r="T21" s="108">
        <f t="shared" si="5"/>
        <v>19288.75</v>
      </c>
      <c r="U21" s="108">
        <f t="shared" si="5"/>
        <v>19288.75</v>
      </c>
      <c r="V21" s="108">
        <f t="shared" si="5"/>
        <v>109304.6875</v>
      </c>
      <c r="W21" s="108">
        <f t="shared" si="5"/>
        <v>617046.875</v>
      </c>
      <c r="X21" s="108">
        <f t="shared" si="5"/>
        <v>847010.9375</v>
      </c>
      <c r="Y21" s="108">
        <f t="shared" si="5"/>
        <v>1261853.125</v>
      </c>
    </row>
    <row r="22" spans="1:21" s="108" customFormat="1" ht="12.75">
      <c r="A22" s="100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</row>
    <row r="23" spans="1:22" ht="12.75">
      <c r="A23" s="101" t="s">
        <v>237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02"/>
    </row>
    <row r="24" spans="1:25" s="108" customFormat="1" ht="12.75">
      <c r="A24" s="100"/>
      <c r="B24" s="205" t="s">
        <v>251</v>
      </c>
      <c r="C24" s="138"/>
      <c r="D24" s="191">
        <f>'Salaries '!F31+'Salaries '!E31</f>
        <v>0</v>
      </c>
      <c r="E24" s="191">
        <f>'Salaries '!J31+'Salaries '!I31</f>
        <v>0</v>
      </c>
      <c r="F24" s="191">
        <f>'Salaries '!N31+'Salaries '!M31</f>
        <v>0</v>
      </c>
      <c r="G24" s="191">
        <f>'Salaries '!R31+'Salaries '!Q31</f>
        <v>0</v>
      </c>
      <c r="H24" s="191">
        <f>'Salaries '!V31+'Salaries '!U31</f>
        <v>0</v>
      </c>
      <c r="I24" s="191">
        <f>'Salaries '!Z31+'Salaries '!Y31</f>
        <v>0</v>
      </c>
      <c r="J24" s="191">
        <f>'Salaries '!AD31+'Salaries '!AC31</f>
        <v>0</v>
      </c>
      <c r="K24" s="191">
        <f>'Salaries '!AH31+'Salaries '!AG31</f>
        <v>0</v>
      </c>
      <c r="L24" s="191">
        <f>'Salaries '!AL31+'Salaries '!AK31</f>
        <v>0</v>
      </c>
      <c r="M24" s="191">
        <f>'Salaries '!AP31+'Salaries '!AO31</f>
        <v>0</v>
      </c>
      <c r="N24" s="191">
        <f>'Salaries '!AT31+'Salaries '!AS31</f>
        <v>0</v>
      </c>
      <c r="O24" s="191">
        <f>'Salaries '!AX31+'Salaries '!AW31</f>
        <v>0</v>
      </c>
      <c r="P24" s="191">
        <f>'Salaries '!BB31+'Salaries '!BA31</f>
        <v>5206.25</v>
      </c>
      <c r="Q24" s="191">
        <f>'Salaries '!BF31+'Salaries '!BE31</f>
        <v>5206.25</v>
      </c>
      <c r="R24" s="191">
        <f>'Salaries '!BJ31+'Salaries '!BI31</f>
        <v>5206.25</v>
      </c>
      <c r="S24" s="191">
        <f>'Salaries '!BM31+'Salaries '!BN31</f>
        <v>5206.25</v>
      </c>
      <c r="T24" s="191">
        <f>'Salaries '!BQ31+'Salaries '!BR31</f>
        <v>5206.25</v>
      </c>
      <c r="U24" s="191">
        <f>'Salaries '!BV31+'Salaries '!BU31</f>
        <v>5206.25</v>
      </c>
      <c r="V24" s="108">
        <f>'Salaries '!BY31+'Salaries '!BZ31</f>
        <v>31250</v>
      </c>
      <c r="W24" s="108">
        <f>'Salaries '!CC31+'Salaries '!CD31</f>
        <v>106250</v>
      </c>
      <c r="X24" s="108">
        <f>'Salaries '!CG31+'Salaries '!CH31</f>
        <v>286699.21875</v>
      </c>
      <c r="Y24" s="108">
        <f>'Salaries '!CK31+'Salaries '!CL31</f>
        <v>444726.5625</v>
      </c>
    </row>
    <row r="25" spans="1:25" s="131" customFormat="1" ht="12.75">
      <c r="A25" s="130">
        <v>0.2</v>
      </c>
      <c r="B25" s="139" t="s">
        <v>205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X25" s="131">
        <f>(X24-W24)*$A$25</f>
        <v>36089.84375</v>
      </c>
      <c r="Y25" s="131">
        <f>(Y24-X24)*$A$25</f>
        <v>31605.46875</v>
      </c>
    </row>
    <row r="26" spans="1:25" s="108" customFormat="1" ht="12.75">
      <c r="A26" s="133">
        <v>0.25</v>
      </c>
      <c r="B26" s="137" t="s">
        <v>206</v>
      </c>
      <c r="C26" s="138"/>
      <c r="D26" s="108">
        <f aca="true" t="shared" si="6" ref="D26:Y26">$A$26*D24</f>
        <v>0</v>
      </c>
      <c r="E26" s="108">
        <f t="shared" si="6"/>
        <v>0</v>
      </c>
      <c r="F26" s="108">
        <f t="shared" si="6"/>
        <v>0</v>
      </c>
      <c r="G26" s="108">
        <f t="shared" si="6"/>
        <v>0</v>
      </c>
      <c r="H26" s="108">
        <f t="shared" si="6"/>
        <v>0</v>
      </c>
      <c r="I26" s="108">
        <f t="shared" si="6"/>
        <v>0</v>
      </c>
      <c r="J26" s="108">
        <f t="shared" si="6"/>
        <v>0</v>
      </c>
      <c r="K26" s="108">
        <f t="shared" si="6"/>
        <v>0</v>
      </c>
      <c r="L26" s="108">
        <f t="shared" si="6"/>
        <v>0</v>
      </c>
      <c r="M26" s="108">
        <f t="shared" si="6"/>
        <v>0</v>
      </c>
      <c r="N26" s="108">
        <f t="shared" si="6"/>
        <v>0</v>
      </c>
      <c r="O26" s="108">
        <f t="shared" si="6"/>
        <v>0</v>
      </c>
      <c r="P26" s="108">
        <f t="shared" si="6"/>
        <v>1301.5625</v>
      </c>
      <c r="Q26" s="108">
        <f t="shared" si="6"/>
        <v>1301.5625</v>
      </c>
      <c r="R26" s="108">
        <f t="shared" si="6"/>
        <v>1301.5625</v>
      </c>
      <c r="S26" s="108">
        <f t="shared" si="6"/>
        <v>1301.5625</v>
      </c>
      <c r="T26" s="108">
        <f t="shared" si="6"/>
        <v>1301.5625</v>
      </c>
      <c r="U26" s="108">
        <f t="shared" si="6"/>
        <v>1301.5625</v>
      </c>
      <c r="V26" s="108">
        <f t="shared" si="6"/>
        <v>7812.5</v>
      </c>
      <c r="W26" s="108">
        <f t="shared" si="6"/>
        <v>26562.5</v>
      </c>
      <c r="X26" s="108">
        <f t="shared" si="6"/>
        <v>71674.8046875</v>
      </c>
      <c r="Y26" s="108">
        <f t="shared" si="6"/>
        <v>111181.640625</v>
      </c>
    </row>
    <row r="27" spans="1:25" s="131" customFormat="1" ht="12.75">
      <c r="A27" s="130"/>
      <c r="B27" s="139" t="s">
        <v>208</v>
      </c>
      <c r="C27" s="140"/>
      <c r="X27" s="132">
        <v>15000</v>
      </c>
      <c r="Y27" s="132">
        <v>15000</v>
      </c>
    </row>
    <row r="28" spans="1:25" s="108" customFormat="1" ht="15">
      <c r="A28" s="133">
        <v>0.02</v>
      </c>
      <c r="B28" s="137" t="s">
        <v>209</v>
      </c>
      <c r="C28" s="138"/>
      <c r="D28" s="173">
        <f aca="true" t="shared" si="7" ref="D28:Y28">D24*$A$28</f>
        <v>0</v>
      </c>
      <c r="E28" s="173">
        <f t="shared" si="7"/>
        <v>0</v>
      </c>
      <c r="F28" s="173">
        <f t="shared" si="7"/>
        <v>0</v>
      </c>
      <c r="G28" s="173">
        <f t="shared" si="7"/>
        <v>0</v>
      </c>
      <c r="H28" s="173">
        <f t="shared" si="7"/>
        <v>0</v>
      </c>
      <c r="I28" s="173">
        <f t="shared" si="7"/>
        <v>0</v>
      </c>
      <c r="J28" s="173">
        <f t="shared" si="7"/>
        <v>0</v>
      </c>
      <c r="K28" s="173">
        <f t="shared" si="7"/>
        <v>0</v>
      </c>
      <c r="L28" s="173">
        <f t="shared" si="7"/>
        <v>0</v>
      </c>
      <c r="M28" s="173">
        <f t="shared" si="7"/>
        <v>0</v>
      </c>
      <c r="N28" s="173">
        <f t="shared" si="7"/>
        <v>0</v>
      </c>
      <c r="O28" s="173">
        <f t="shared" si="7"/>
        <v>0</v>
      </c>
      <c r="P28" s="173">
        <f t="shared" si="7"/>
        <v>104.125</v>
      </c>
      <c r="Q28" s="173">
        <f t="shared" si="7"/>
        <v>104.125</v>
      </c>
      <c r="R28" s="173">
        <f t="shared" si="7"/>
        <v>104.125</v>
      </c>
      <c r="S28" s="173">
        <f t="shared" si="7"/>
        <v>104.125</v>
      </c>
      <c r="T28" s="173">
        <f t="shared" si="7"/>
        <v>104.125</v>
      </c>
      <c r="U28" s="173">
        <f t="shared" si="7"/>
        <v>104.125</v>
      </c>
      <c r="V28" s="173">
        <f t="shared" si="7"/>
        <v>625</v>
      </c>
      <c r="W28" s="173">
        <f t="shared" si="7"/>
        <v>2125</v>
      </c>
      <c r="X28" s="173">
        <f t="shared" si="7"/>
        <v>5733.984375</v>
      </c>
      <c r="Y28" s="173">
        <f t="shared" si="7"/>
        <v>8894.53125</v>
      </c>
    </row>
    <row r="29" spans="1:25" s="108" customFormat="1" ht="12.75">
      <c r="A29" s="100"/>
      <c r="B29" s="128" t="s">
        <v>211</v>
      </c>
      <c r="C29" s="129"/>
      <c r="D29" s="108">
        <f aca="true" t="shared" si="8" ref="D29:Y29">SUM(D24:D28)</f>
        <v>0</v>
      </c>
      <c r="E29" s="108">
        <f t="shared" si="8"/>
        <v>0</v>
      </c>
      <c r="F29" s="108">
        <f t="shared" si="8"/>
        <v>0</v>
      </c>
      <c r="G29" s="108">
        <f t="shared" si="8"/>
        <v>0</v>
      </c>
      <c r="H29" s="108">
        <f t="shared" si="8"/>
        <v>0</v>
      </c>
      <c r="I29" s="108">
        <f t="shared" si="8"/>
        <v>0</v>
      </c>
      <c r="J29" s="108">
        <f t="shared" si="8"/>
        <v>0</v>
      </c>
      <c r="K29" s="108">
        <f t="shared" si="8"/>
        <v>0</v>
      </c>
      <c r="L29" s="108">
        <f t="shared" si="8"/>
        <v>0</v>
      </c>
      <c r="M29" s="108">
        <f t="shared" si="8"/>
        <v>0</v>
      </c>
      <c r="N29" s="108">
        <f t="shared" si="8"/>
        <v>0</v>
      </c>
      <c r="O29" s="108">
        <f t="shared" si="8"/>
        <v>0</v>
      </c>
      <c r="P29" s="108">
        <f t="shared" si="8"/>
        <v>6611.9375</v>
      </c>
      <c r="Q29" s="108">
        <f t="shared" si="8"/>
        <v>6611.9375</v>
      </c>
      <c r="R29" s="108">
        <f t="shared" si="8"/>
        <v>6611.9375</v>
      </c>
      <c r="S29" s="108">
        <f t="shared" si="8"/>
        <v>6611.9375</v>
      </c>
      <c r="T29" s="108">
        <f t="shared" si="8"/>
        <v>6611.9375</v>
      </c>
      <c r="U29" s="108">
        <f t="shared" si="8"/>
        <v>6611.9375</v>
      </c>
      <c r="V29" s="108">
        <f t="shared" si="8"/>
        <v>39687.5</v>
      </c>
      <c r="W29" s="108">
        <f t="shared" si="8"/>
        <v>134937.5</v>
      </c>
      <c r="X29" s="108">
        <f t="shared" si="8"/>
        <v>415197.8515625</v>
      </c>
      <c r="Y29" s="108">
        <f t="shared" si="8"/>
        <v>611408.203125</v>
      </c>
    </row>
    <row r="30" spans="1:21" s="108" customFormat="1" ht="12.75">
      <c r="A30" s="100"/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2" ht="12.75">
      <c r="A31" s="101" t="s">
        <v>194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02"/>
    </row>
    <row r="32" spans="1:25" s="108" customFormat="1" ht="12.75">
      <c r="A32" s="100"/>
      <c r="B32" s="205" t="s">
        <v>251</v>
      </c>
      <c r="C32" s="138"/>
      <c r="D32" s="191">
        <f>'Salaries '!F39+'Salaries '!E39</f>
        <v>0</v>
      </c>
      <c r="E32" s="191">
        <f>'Salaries '!J39+'Salaries '!I39</f>
        <v>1250</v>
      </c>
      <c r="F32" s="191">
        <f>'Salaries '!N39+'Salaries '!M39</f>
        <v>1250</v>
      </c>
      <c r="G32" s="191">
        <f>'Salaries '!R39+'Salaries '!Q39</f>
        <v>1250</v>
      </c>
      <c r="H32" s="191">
        <f>'Salaries '!V39+'Salaries '!U39</f>
        <v>1250</v>
      </c>
      <c r="I32" s="191">
        <f>'Salaries '!Z39+'Salaries '!Y39</f>
        <v>1250</v>
      </c>
      <c r="J32" s="191">
        <f>'Salaries '!AD39+'Salaries '!AC39</f>
        <v>6250</v>
      </c>
      <c r="K32" s="191">
        <f>'Salaries '!AH39+'Salaries '!AG39</f>
        <v>6250</v>
      </c>
      <c r="L32" s="191">
        <f>'Salaries '!AL39+'Salaries '!AK39</f>
        <v>6250</v>
      </c>
      <c r="M32" s="191">
        <f>'Salaries '!AP39+'Salaries '!AO39</f>
        <v>6250</v>
      </c>
      <c r="N32" s="191">
        <f>'Salaries '!AT39+'Salaries '!AS39</f>
        <v>6250</v>
      </c>
      <c r="O32" s="191">
        <f>'Salaries '!AX39+'Salaries '!AW39</f>
        <v>6250</v>
      </c>
      <c r="P32" s="191">
        <f>'Salaries '!BB39+'Salaries '!BA39</f>
        <v>15618.75</v>
      </c>
      <c r="Q32" s="191">
        <f>'Salaries '!BF39+'Salaries '!BE39</f>
        <v>15618.75</v>
      </c>
      <c r="R32" s="191">
        <f>'Salaries '!BJ39+'Salaries '!BI39</f>
        <v>15618.75</v>
      </c>
      <c r="S32" s="191">
        <f>'Salaries '!BM39+'Salaries '!BN39</f>
        <v>15618.75</v>
      </c>
      <c r="T32" s="191">
        <f>'Salaries '!BQ39+'Salaries '!BR39</f>
        <v>15618.75</v>
      </c>
      <c r="U32" s="191">
        <f>'Salaries '!BV39+'Salaries '!BU39</f>
        <v>15618.75</v>
      </c>
      <c r="V32" s="108">
        <f>'Salaries '!BY39+'Salaries '!BZ39</f>
        <v>93750</v>
      </c>
      <c r="W32" s="108">
        <f>'Salaries '!CC39+'Salaries '!CD39</f>
        <v>187500</v>
      </c>
      <c r="X32" s="108">
        <f>'Salaries '!CG39+'Salaries '!CH39</f>
        <v>308847.65625</v>
      </c>
      <c r="Y32" s="108">
        <f>'Salaries '!CK39+'Salaries '!CL39</f>
        <v>323554.68750000006</v>
      </c>
    </row>
    <row r="33" spans="1:25" s="131" customFormat="1" ht="12.75">
      <c r="A33" s="130">
        <v>0.2</v>
      </c>
      <c r="B33" s="139" t="s">
        <v>205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X33" s="132">
        <f>(X32-W32)*$A$33</f>
        <v>24269.53125</v>
      </c>
      <c r="Y33" s="132">
        <f>(Y32-X32)*$A$33</f>
        <v>2941.406250000012</v>
      </c>
    </row>
    <row r="34" spans="1:25" s="108" customFormat="1" ht="12.75">
      <c r="A34" s="133">
        <v>0.05</v>
      </c>
      <c r="B34" s="137" t="s">
        <v>206</v>
      </c>
      <c r="C34" s="138"/>
      <c r="D34" s="108">
        <f aca="true" t="shared" si="9" ref="D34:Y34">$A$34*D32</f>
        <v>0</v>
      </c>
      <c r="E34" s="108">
        <f t="shared" si="9"/>
        <v>62.5</v>
      </c>
      <c r="F34" s="108">
        <f t="shared" si="9"/>
        <v>62.5</v>
      </c>
      <c r="G34" s="108">
        <f t="shared" si="9"/>
        <v>62.5</v>
      </c>
      <c r="H34" s="108">
        <f t="shared" si="9"/>
        <v>62.5</v>
      </c>
      <c r="I34" s="108">
        <f t="shared" si="9"/>
        <v>62.5</v>
      </c>
      <c r="J34" s="108">
        <f t="shared" si="9"/>
        <v>312.5</v>
      </c>
      <c r="K34" s="108">
        <f t="shared" si="9"/>
        <v>312.5</v>
      </c>
      <c r="L34" s="108">
        <f t="shared" si="9"/>
        <v>312.5</v>
      </c>
      <c r="M34" s="108">
        <f t="shared" si="9"/>
        <v>312.5</v>
      </c>
      <c r="N34" s="108">
        <f t="shared" si="9"/>
        <v>312.5</v>
      </c>
      <c r="O34" s="108">
        <f t="shared" si="9"/>
        <v>312.5</v>
      </c>
      <c r="P34" s="108">
        <f t="shared" si="9"/>
        <v>780.9375</v>
      </c>
      <c r="Q34" s="108">
        <f t="shared" si="9"/>
        <v>780.9375</v>
      </c>
      <c r="R34" s="108">
        <f t="shared" si="9"/>
        <v>780.9375</v>
      </c>
      <c r="S34" s="108">
        <f t="shared" si="9"/>
        <v>780.9375</v>
      </c>
      <c r="T34" s="108">
        <f t="shared" si="9"/>
        <v>780.9375</v>
      </c>
      <c r="U34" s="108">
        <f t="shared" si="9"/>
        <v>780.9375</v>
      </c>
      <c r="V34" s="108">
        <f t="shared" si="9"/>
        <v>4687.5</v>
      </c>
      <c r="W34" s="108">
        <f t="shared" si="9"/>
        <v>9375</v>
      </c>
      <c r="X34" s="108">
        <f t="shared" si="9"/>
        <v>15442.3828125</v>
      </c>
      <c r="Y34" s="108">
        <f t="shared" si="9"/>
        <v>16177.734375000004</v>
      </c>
    </row>
    <row r="35" spans="1:25" s="131" customFormat="1" ht="12.75">
      <c r="A35" s="130"/>
      <c r="B35" s="139" t="s">
        <v>208</v>
      </c>
      <c r="C35" s="140"/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5000</v>
      </c>
      <c r="K35" s="174">
        <v>5000</v>
      </c>
      <c r="L35" s="174">
        <v>5000</v>
      </c>
      <c r="M35" s="174">
        <v>5000</v>
      </c>
      <c r="N35" s="174">
        <v>5000</v>
      </c>
      <c r="O35" s="174">
        <v>5000</v>
      </c>
      <c r="P35" s="174">
        <v>5000</v>
      </c>
      <c r="Q35" s="174">
        <v>5000</v>
      </c>
      <c r="R35" s="174">
        <v>5000</v>
      </c>
      <c r="S35" s="174">
        <v>5000</v>
      </c>
      <c r="T35" s="174">
        <v>5000</v>
      </c>
      <c r="U35" s="174">
        <v>5000</v>
      </c>
      <c r="V35" s="174">
        <v>5000</v>
      </c>
      <c r="W35" s="174">
        <v>30000</v>
      </c>
      <c r="X35" s="132">
        <v>35000</v>
      </c>
      <c r="Y35" s="132">
        <v>40000</v>
      </c>
    </row>
    <row r="36" spans="1:25" s="108" customFormat="1" ht="15">
      <c r="A36" s="133">
        <v>0.02</v>
      </c>
      <c r="B36" s="137" t="s">
        <v>209</v>
      </c>
      <c r="C36" s="138"/>
      <c r="D36" s="173">
        <f aca="true" t="shared" si="10" ref="D36:Y36">D32*$A$36</f>
        <v>0</v>
      </c>
      <c r="E36" s="173">
        <f t="shared" si="10"/>
        <v>25</v>
      </c>
      <c r="F36" s="173">
        <f t="shared" si="10"/>
        <v>25</v>
      </c>
      <c r="G36" s="173">
        <f t="shared" si="10"/>
        <v>25</v>
      </c>
      <c r="H36" s="173">
        <f t="shared" si="10"/>
        <v>25</v>
      </c>
      <c r="I36" s="173">
        <f t="shared" si="10"/>
        <v>25</v>
      </c>
      <c r="J36" s="173">
        <f t="shared" si="10"/>
        <v>125</v>
      </c>
      <c r="K36" s="173">
        <f t="shared" si="10"/>
        <v>125</v>
      </c>
      <c r="L36" s="173">
        <f t="shared" si="10"/>
        <v>125</v>
      </c>
      <c r="M36" s="173">
        <f t="shared" si="10"/>
        <v>125</v>
      </c>
      <c r="N36" s="173">
        <f t="shared" si="10"/>
        <v>125</v>
      </c>
      <c r="O36" s="173">
        <f t="shared" si="10"/>
        <v>125</v>
      </c>
      <c r="P36" s="173">
        <f t="shared" si="10"/>
        <v>312.375</v>
      </c>
      <c r="Q36" s="173">
        <f t="shared" si="10"/>
        <v>312.375</v>
      </c>
      <c r="R36" s="173">
        <f t="shared" si="10"/>
        <v>312.375</v>
      </c>
      <c r="S36" s="173">
        <f t="shared" si="10"/>
        <v>312.375</v>
      </c>
      <c r="T36" s="173">
        <f t="shared" si="10"/>
        <v>312.375</v>
      </c>
      <c r="U36" s="173">
        <f t="shared" si="10"/>
        <v>312.375</v>
      </c>
      <c r="V36" s="173">
        <f t="shared" si="10"/>
        <v>1875</v>
      </c>
      <c r="W36" s="173">
        <f t="shared" si="10"/>
        <v>3750</v>
      </c>
      <c r="X36" s="173">
        <f t="shared" si="10"/>
        <v>6176.953125</v>
      </c>
      <c r="Y36" s="173">
        <f t="shared" si="10"/>
        <v>6471.093750000001</v>
      </c>
    </row>
    <row r="37" spans="1:25" s="108" customFormat="1" ht="12.75">
      <c r="A37" s="100"/>
      <c r="B37" s="128" t="s">
        <v>211</v>
      </c>
      <c r="C37" s="129"/>
      <c r="D37" s="108">
        <f aca="true" t="shared" si="11" ref="D37:Y37">SUM(D32:D36)</f>
        <v>0</v>
      </c>
      <c r="E37" s="108">
        <f t="shared" si="11"/>
        <v>1337.5</v>
      </c>
      <c r="F37" s="108">
        <f t="shared" si="11"/>
        <v>1337.5</v>
      </c>
      <c r="G37" s="108">
        <f t="shared" si="11"/>
        <v>1337.5</v>
      </c>
      <c r="H37" s="108">
        <f t="shared" si="11"/>
        <v>1337.5</v>
      </c>
      <c r="I37" s="108">
        <f t="shared" si="11"/>
        <v>1337.5</v>
      </c>
      <c r="J37" s="108">
        <f t="shared" si="11"/>
        <v>11687.5</v>
      </c>
      <c r="K37" s="108">
        <f t="shared" si="11"/>
        <v>11687.5</v>
      </c>
      <c r="L37" s="108">
        <f t="shared" si="11"/>
        <v>11687.5</v>
      </c>
      <c r="M37" s="108">
        <f t="shared" si="11"/>
        <v>11687.5</v>
      </c>
      <c r="N37" s="108">
        <f t="shared" si="11"/>
        <v>11687.5</v>
      </c>
      <c r="O37" s="108">
        <f t="shared" si="11"/>
        <v>11687.5</v>
      </c>
      <c r="P37" s="108">
        <f t="shared" si="11"/>
        <v>21712.0625</v>
      </c>
      <c r="Q37" s="108">
        <f t="shared" si="11"/>
        <v>21712.0625</v>
      </c>
      <c r="R37" s="108">
        <f t="shared" si="11"/>
        <v>21712.0625</v>
      </c>
      <c r="S37" s="108">
        <f t="shared" si="11"/>
        <v>21712.0625</v>
      </c>
      <c r="T37" s="108">
        <f t="shared" si="11"/>
        <v>21712.0625</v>
      </c>
      <c r="U37" s="108">
        <f t="shared" si="11"/>
        <v>21712.0625</v>
      </c>
      <c r="V37" s="108">
        <f t="shared" si="11"/>
        <v>105312.5</v>
      </c>
      <c r="W37" s="108">
        <f t="shared" si="11"/>
        <v>230625</v>
      </c>
      <c r="X37" s="108">
        <f t="shared" si="11"/>
        <v>389736.5234375</v>
      </c>
      <c r="Y37" s="108">
        <f t="shared" si="11"/>
        <v>389144.92187500006</v>
      </c>
    </row>
    <row r="38" spans="1:21" s="108" customFormat="1" ht="12.75">
      <c r="A38" s="100"/>
      <c r="B38" s="128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2" ht="12.75">
      <c r="A39" s="101" t="s">
        <v>195</v>
      </c>
      <c r="B39" s="126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02"/>
    </row>
    <row r="40" spans="1:25" s="108" customFormat="1" ht="12.75">
      <c r="A40" s="100"/>
      <c r="B40" s="205" t="s">
        <v>251</v>
      </c>
      <c r="C40" s="129"/>
      <c r="D40" s="191">
        <f>'Salaries '!F45+'Salaries '!E45</f>
        <v>0</v>
      </c>
      <c r="E40" s="191">
        <f>'Salaries '!J45+'Salaries '!I45</f>
        <v>0</v>
      </c>
      <c r="F40" s="191">
        <f>'Salaries '!N45+'Salaries '!M45</f>
        <v>0</v>
      </c>
      <c r="G40" s="191">
        <f>'Salaries '!R45+'Salaries '!Q45</f>
        <v>0</v>
      </c>
      <c r="H40" s="191">
        <f>'Salaries '!V45+'Salaries '!U45</f>
        <v>0</v>
      </c>
      <c r="I40" s="191">
        <f>'Salaries '!Z45+'Salaries '!Y45</f>
        <v>0</v>
      </c>
      <c r="J40" s="191">
        <f>'Salaries '!AD45+'Salaries '!AC45</f>
        <v>0</v>
      </c>
      <c r="K40" s="191">
        <f>'Salaries '!AH45+'Salaries '!AG45</f>
        <v>0</v>
      </c>
      <c r="L40" s="191">
        <f>'Salaries '!AL45+'Salaries '!AK45</f>
        <v>0</v>
      </c>
      <c r="M40" s="191">
        <f>'Salaries '!AP45+'Salaries '!AO45</f>
        <v>0</v>
      </c>
      <c r="N40" s="191">
        <f>'Salaries '!AT45+'Salaries '!AS45</f>
        <v>0</v>
      </c>
      <c r="O40" s="191">
        <f>'Salaries '!AX45+'Salaries '!AW45</f>
        <v>0</v>
      </c>
      <c r="P40" s="191">
        <f>'Salaries '!BB45+'Salaries '!BA45</f>
        <v>0</v>
      </c>
      <c r="Q40" s="191">
        <f>'Salaries '!BF45+'Salaries '!BE45</f>
        <v>0</v>
      </c>
      <c r="R40" s="191">
        <f>'Salaries '!BJ45+'Salaries '!BI45</f>
        <v>0</v>
      </c>
      <c r="S40" s="191">
        <f>'Salaries '!BM45+'Salaries '!BN45</f>
        <v>0</v>
      </c>
      <c r="T40" s="191">
        <f>'Salaries '!BQ45+'Salaries '!BR45</f>
        <v>0</v>
      </c>
      <c r="U40" s="191">
        <f>'Salaries '!BV45+'Salaries '!BU45</f>
        <v>0</v>
      </c>
      <c r="V40" s="108">
        <f>'Salaries '!BY45+'Salaries '!BZ45</f>
        <v>0</v>
      </c>
      <c r="W40" s="108">
        <f>'Salaries '!CC45+'Salaries '!CD45</f>
        <v>0</v>
      </c>
      <c r="X40" s="108">
        <f>'Salaries '!CG45+'Salaries '!CH45</f>
        <v>13330.078125</v>
      </c>
      <c r="Y40" s="108">
        <f>'Salaries '!CK45+'Salaries '!CL45</f>
        <v>117304.6875</v>
      </c>
    </row>
    <row r="41" spans="1:25" s="131" customFormat="1" ht="12.75">
      <c r="A41" s="130">
        <v>0.2</v>
      </c>
      <c r="B41" s="139" t="s">
        <v>205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X41" s="131">
        <f>(X40-W40)*$A$41</f>
        <v>2666.015625</v>
      </c>
      <c r="Y41" s="131">
        <f>(Y40-X40)*$A$41</f>
        <v>20794.921875</v>
      </c>
    </row>
    <row r="42" spans="1:25" s="108" customFormat="1" ht="12.75">
      <c r="A42" s="133">
        <v>0.05</v>
      </c>
      <c r="B42" s="137" t="s">
        <v>206</v>
      </c>
      <c r="C42" s="138"/>
      <c r="D42" s="108">
        <f aca="true" t="shared" si="12" ref="D42:Y42">$A$42*D40</f>
        <v>0</v>
      </c>
      <c r="E42" s="108">
        <f t="shared" si="12"/>
        <v>0</v>
      </c>
      <c r="F42" s="108">
        <f t="shared" si="12"/>
        <v>0</v>
      </c>
      <c r="G42" s="108">
        <f t="shared" si="12"/>
        <v>0</v>
      </c>
      <c r="H42" s="108">
        <f t="shared" si="12"/>
        <v>0</v>
      </c>
      <c r="I42" s="108">
        <f t="shared" si="12"/>
        <v>0</v>
      </c>
      <c r="J42" s="108">
        <f t="shared" si="12"/>
        <v>0</v>
      </c>
      <c r="K42" s="108">
        <f t="shared" si="12"/>
        <v>0</v>
      </c>
      <c r="L42" s="108">
        <f t="shared" si="12"/>
        <v>0</v>
      </c>
      <c r="M42" s="108">
        <f t="shared" si="12"/>
        <v>0</v>
      </c>
      <c r="N42" s="108">
        <f t="shared" si="12"/>
        <v>0</v>
      </c>
      <c r="O42" s="108">
        <f t="shared" si="12"/>
        <v>0</v>
      </c>
      <c r="P42" s="108">
        <f t="shared" si="12"/>
        <v>0</v>
      </c>
      <c r="Q42" s="108">
        <f t="shared" si="12"/>
        <v>0</v>
      </c>
      <c r="R42" s="108">
        <f t="shared" si="12"/>
        <v>0</v>
      </c>
      <c r="S42" s="108">
        <f t="shared" si="12"/>
        <v>0</v>
      </c>
      <c r="T42" s="108">
        <f t="shared" si="12"/>
        <v>0</v>
      </c>
      <c r="U42" s="108">
        <f t="shared" si="12"/>
        <v>0</v>
      </c>
      <c r="V42" s="108">
        <f t="shared" si="12"/>
        <v>0</v>
      </c>
      <c r="W42" s="108">
        <f t="shared" si="12"/>
        <v>0</v>
      </c>
      <c r="X42" s="108">
        <f t="shared" si="12"/>
        <v>666.50390625</v>
      </c>
      <c r="Y42" s="108">
        <f t="shared" si="12"/>
        <v>5865.234375</v>
      </c>
    </row>
    <row r="43" spans="1:25" s="131" customFormat="1" ht="12.75">
      <c r="A43" s="130"/>
      <c r="B43" s="139" t="s">
        <v>210</v>
      </c>
      <c r="C43" s="140"/>
      <c r="Y43" s="132">
        <v>0</v>
      </c>
    </row>
    <row r="44" spans="1:25" s="131" customFormat="1" ht="12.75">
      <c r="A44" s="130"/>
      <c r="B44" s="139" t="s">
        <v>208</v>
      </c>
      <c r="C44" s="140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>
        <v>25000</v>
      </c>
      <c r="X44" s="174">
        <v>25000</v>
      </c>
      <c r="Y44" s="132">
        <v>25000</v>
      </c>
    </row>
    <row r="45" spans="1:25" s="108" customFormat="1" ht="15">
      <c r="A45" s="133">
        <v>0.02</v>
      </c>
      <c r="B45" s="137" t="s">
        <v>209</v>
      </c>
      <c r="C45" s="138"/>
      <c r="D45" s="173">
        <f aca="true" t="shared" si="13" ref="D45:Y45">D40*$A$45</f>
        <v>0</v>
      </c>
      <c r="E45" s="173">
        <f t="shared" si="13"/>
        <v>0</v>
      </c>
      <c r="F45" s="173">
        <f t="shared" si="13"/>
        <v>0</v>
      </c>
      <c r="G45" s="173">
        <f t="shared" si="13"/>
        <v>0</v>
      </c>
      <c r="H45" s="173">
        <f t="shared" si="13"/>
        <v>0</v>
      </c>
      <c r="I45" s="173">
        <f t="shared" si="13"/>
        <v>0</v>
      </c>
      <c r="J45" s="173">
        <f t="shared" si="13"/>
        <v>0</v>
      </c>
      <c r="K45" s="173">
        <f t="shared" si="13"/>
        <v>0</v>
      </c>
      <c r="L45" s="173">
        <f t="shared" si="13"/>
        <v>0</v>
      </c>
      <c r="M45" s="173">
        <f t="shared" si="13"/>
        <v>0</v>
      </c>
      <c r="N45" s="173">
        <f t="shared" si="13"/>
        <v>0</v>
      </c>
      <c r="O45" s="173">
        <f t="shared" si="13"/>
        <v>0</v>
      </c>
      <c r="P45" s="173">
        <f t="shared" si="13"/>
        <v>0</v>
      </c>
      <c r="Q45" s="173">
        <f t="shared" si="13"/>
        <v>0</v>
      </c>
      <c r="R45" s="173">
        <f t="shared" si="13"/>
        <v>0</v>
      </c>
      <c r="S45" s="173">
        <f t="shared" si="13"/>
        <v>0</v>
      </c>
      <c r="T45" s="173">
        <f t="shared" si="13"/>
        <v>0</v>
      </c>
      <c r="U45" s="173">
        <f t="shared" si="13"/>
        <v>0</v>
      </c>
      <c r="V45" s="173">
        <f t="shared" si="13"/>
        <v>0</v>
      </c>
      <c r="W45" s="173">
        <f t="shared" si="13"/>
        <v>0</v>
      </c>
      <c r="X45" s="173">
        <f t="shared" si="13"/>
        <v>266.6015625</v>
      </c>
      <c r="Y45" s="173">
        <f t="shared" si="13"/>
        <v>2346.09375</v>
      </c>
    </row>
    <row r="46" spans="1:25" s="108" customFormat="1" ht="12.75">
      <c r="A46" s="100"/>
      <c r="B46" s="63" t="s">
        <v>211</v>
      </c>
      <c r="C46" s="135"/>
      <c r="D46" s="108">
        <f aca="true" t="shared" si="14" ref="D46:Y46">SUM(D40:D45)</f>
        <v>0</v>
      </c>
      <c r="E46" s="108">
        <f t="shared" si="14"/>
        <v>0</v>
      </c>
      <c r="F46" s="108">
        <f t="shared" si="14"/>
        <v>0</v>
      </c>
      <c r="G46" s="108">
        <f t="shared" si="14"/>
        <v>0</v>
      </c>
      <c r="H46" s="108">
        <f t="shared" si="14"/>
        <v>0</v>
      </c>
      <c r="I46" s="108">
        <f t="shared" si="14"/>
        <v>0</v>
      </c>
      <c r="J46" s="108">
        <f t="shared" si="14"/>
        <v>0</v>
      </c>
      <c r="K46" s="108">
        <f t="shared" si="14"/>
        <v>0</v>
      </c>
      <c r="L46" s="108">
        <f t="shared" si="14"/>
        <v>0</v>
      </c>
      <c r="M46" s="108">
        <f t="shared" si="14"/>
        <v>0</v>
      </c>
      <c r="N46" s="108">
        <f t="shared" si="14"/>
        <v>0</v>
      </c>
      <c r="O46" s="108">
        <f t="shared" si="14"/>
        <v>0</v>
      </c>
      <c r="P46" s="108">
        <f t="shared" si="14"/>
        <v>0</v>
      </c>
      <c r="Q46" s="108">
        <f t="shared" si="14"/>
        <v>0</v>
      </c>
      <c r="R46" s="108">
        <f t="shared" si="14"/>
        <v>0</v>
      </c>
      <c r="S46" s="108">
        <f t="shared" si="14"/>
        <v>0</v>
      </c>
      <c r="T46" s="108">
        <f t="shared" si="14"/>
        <v>0</v>
      </c>
      <c r="U46" s="108">
        <f t="shared" si="14"/>
        <v>0</v>
      </c>
      <c r="V46" s="108">
        <f t="shared" si="14"/>
        <v>0</v>
      </c>
      <c r="W46" s="108">
        <f t="shared" si="14"/>
        <v>25000</v>
      </c>
      <c r="X46" s="108">
        <f t="shared" si="14"/>
        <v>41929.19921875</v>
      </c>
      <c r="Y46" s="108">
        <f t="shared" si="14"/>
        <v>171310.9375</v>
      </c>
    </row>
    <row r="47" spans="1:25" s="108" customFormat="1" ht="12.75">
      <c r="A47" s="172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1"/>
      <c r="W47" s="11"/>
      <c r="X47" s="11"/>
      <c r="Y47" s="11"/>
    </row>
    <row r="48" spans="1:22" ht="12.75">
      <c r="A48" s="101" t="s">
        <v>241</v>
      </c>
      <c r="B48" s="126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02"/>
    </row>
    <row r="49" spans="2:25" s="108" customFormat="1" ht="12.75">
      <c r="B49" s="205" t="s">
        <v>251</v>
      </c>
      <c r="C49" s="138"/>
      <c r="D49" s="191">
        <f>'Salaries '!F52+'Salaries '!E52</f>
        <v>12000</v>
      </c>
      <c r="E49" s="191">
        <f>'Salaries '!J52+'Salaries '!I52</f>
        <v>14682.5</v>
      </c>
      <c r="F49" s="191">
        <f>'Salaries '!N52+'Salaries '!M52</f>
        <v>14682.5</v>
      </c>
      <c r="G49" s="191">
        <f>'Salaries '!R52+'Salaries '!Q52</f>
        <v>14682.5</v>
      </c>
      <c r="H49" s="191">
        <f>'Salaries '!V52+'Salaries '!U52</f>
        <v>14682.5</v>
      </c>
      <c r="I49" s="191">
        <f>'Salaries '!Z52+'Salaries '!Y52</f>
        <v>14682.5</v>
      </c>
      <c r="J49" s="191">
        <f>'Salaries '!AD52+'Salaries '!AC52</f>
        <v>19057.5</v>
      </c>
      <c r="K49" s="191">
        <f>'Salaries '!AH52+'Salaries '!AG52</f>
        <v>19057.5</v>
      </c>
      <c r="L49" s="191">
        <f>'Salaries '!AL52+'Salaries '!AK52</f>
        <v>19057.5</v>
      </c>
      <c r="M49" s="191">
        <f>'Salaries '!AP52+'Salaries '!AO52</f>
        <v>23432.5</v>
      </c>
      <c r="N49" s="191">
        <f>'Salaries '!AT52+'Salaries '!AS52</f>
        <v>23432.5</v>
      </c>
      <c r="O49" s="191">
        <f>'Salaries '!AX52+'Salaries '!AW52</f>
        <v>23432.5</v>
      </c>
      <c r="P49" s="191">
        <f>'Salaries '!BB52+'Salaries '!BA52</f>
        <v>41487.3046875</v>
      </c>
      <c r="Q49" s="191">
        <f>'Salaries '!BF52+'Salaries '!BE52</f>
        <v>41487.3046875</v>
      </c>
      <c r="R49" s="191">
        <f>'Salaries '!BJ52+'Salaries '!BI52</f>
        <v>41487.3046875</v>
      </c>
      <c r="S49" s="191">
        <f>'Salaries '!BM52+'Salaries '!BN52</f>
        <v>41487.3046875</v>
      </c>
      <c r="T49" s="191">
        <f>'Salaries '!BQ52+'Salaries '!BR52</f>
        <v>41487.3046875</v>
      </c>
      <c r="U49" s="191">
        <f>'Salaries '!BV52+'Salaries '!BU52</f>
        <v>41487.3046875</v>
      </c>
      <c r="V49" s="108">
        <f>'Salaries '!BY52+'Salaries '!BZ52</f>
        <v>283398.4375</v>
      </c>
      <c r="W49" s="108">
        <f>'Salaries '!CC52+'Salaries '!CD52</f>
        <v>879296.875</v>
      </c>
      <c r="X49" s="108">
        <f>'Salaries '!CG52+'Salaries '!CH52</f>
        <v>824824.21875</v>
      </c>
      <c r="Y49" s="108">
        <f>'Salaries '!CK52+'Salaries '!CL52</f>
        <v>1118476.5625</v>
      </c>
    </row>
    <row r="50" spans="1:25" s="131" customFormat="1" ht="12.75">
      <c r="A50" s="175">
        <v>0.2</v>
      </c>
      <c r="B50" s="139" t="s">
        <v>205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X50" s="131">
        <f>(X49-W49)*$A$50</f>
        <v>-10894.53125</v>
      </c>
      <c r="Y50" s="131">
        <f>(Y49-X49)*$A$50</f>
        <v>58730.46875</v>
      </c>
    </row>
    <row r="51" spans="1:25" s="108" customFormat="1" ht="12.75">
      <c r="A51" s="176">
        <v>0.1</v>
      </c>
      <c r="B51" s="137" t="s">
        <v>206</v>
      </c>
      <c r="C51" s="138"/>
      <c r="D51" s="108">
        <f aca="true" t="shared" si="15" ref="D51:Y51">$A$51*D49</f>
        <v>1200</v>
      </c>
      <c r="E51" s="108">
        <f t="shared" si="15"/>
        <v>1468.25</v>
      </c>
      <c r="F51" s="108">
        <f t="shared" si="15"/>
        <v>1468.25</v>
      </c>
      <c r="G51" s="108">
        <f t="shared" si="15"/>
        <v>1468.25</v>
      </c>
      <c r="H51" s="108">
        <f t="shared" si="15"/>
        <v>1468.25</v>
      </c>
      <c r="I51" s="108">
        <f t="shared" si="15"/>
        <v>1468.25</v>
      </c>
      <c r="J51" s="108">
        <f t="shared" si="15"/>
        <v>1905.75</v>
      </c>
      <c r="K51" s="108">
        <f t="shared" si="15"/>
        <v>1905.75</v>
      </c>
      <c r="L51" s="108">
        <f t="shared" si="15"/>
        <v>1905.75</v>
      </c>
      <c r="M51" s="108">
        <f t="shared" si="15"/>
        <v>2343.25</v>
      </c>
      <c r="N51" s="108">
        <f t="shared" si="15"/>
        <v>2343.25</v>
      </c>
      <c r="O51" s="108">
        <f t="shared" si="15"/>
        <v>2343.25</v>
      </c>
      <c r="P51" s="108">
        <f t="shared" si="15"/>
        <v>4148.73046875</v>
      </c>
      <c r="Q51" s="108">
        <f t="shared" si="15"/>
        <v>4148.73046875</v>
      </c>
      <c r="R51" s="108">
        <f t="shared" si="15"/>
        <v>4148.73046875</v>
      </c>
      <c r="S51" s="108">
        <f t="shared" si="15"/>
        <v>4148.73046875</v>
      </c>
      <c r="T51" s="108">
        <f t="shared" si="15"/>
        <v>4148.73046875</v>
      </c>
      <c r="U51" s="108">
        <f t="shared" si="15"/>
        <v>4148.73046875</v>
      </c>
      <c r="V51" s="108">
        <f t="shared" si="15"/>
        <v>28339.84375</v>
      </c>
      <c r="W51" s="108">
        <f t="shared" si="15"/>
        <v>87929.6875</v>
      </c>
      <c r="X51" s="108">
        <f t="shared" si="15"/>
        <v>82482.421875</v>
      </c>
      <c r="Y51" s="108">
        <f t="shared" si="15"/>
        <v>111847.65625</v>
      </c>
    </row>
    <row r="52" spans="1:25" s="131" customFormat="1" ht="12.75">
      <c r="A52" s="175"/>
      <c r="B52" s="139" t="s">
        <v>208</v>
      </c>
      <c r="C52" s="140"/>
      <c r="D52" s="174">
        <v>1000</v>
      </c>
      <c r="E52" s="174">
        <v>1000</v>
      </c>
      <c r="F52" s="174">
        <v>1000</v>
      </c>
      <c r="G52" s="174">
        <v>1000</v>
      </c>
      <c r="H52" s="174">
        <v>1000</v>
      </c>
      <c r="I52" s="174">
        <v>1000</v>
      </c>
      <c r="J52" s="174">
        <v>1000</v>
      </c>
      <c r="K52" s="174">
        <v>1000</v>
      </c>
      <c r="L52" s="174">
        <v>1000</v>
      </c>
      <c r="M52" s="174">
        <v>1000</v>
      </c>
      <c r="N52" s="174">
        <v>1000</v>
      </c>
      <c r="O52" s="174">
        <v>1000</v>
      </c>
      <c r="P52" s="174">
        <v>1000</v>
      </c>
      <c r="Q52" s="174">
        <v>1000</v>
      </c>
      <c r="R52" s="174">
        <v>1000</v>
      </c>
      <c r="S52" s="174">
        <v>1000</v>
      </c>
      <c r="T52" s="174">
        <v>1000</v>
      </c>
      <c r="U52" s="174">
        <v>1000</v>
      </c>
      <c r="V52" s="174">
        <v>5000</v>
      </c>
      <c r="W52" s="174">
        <v>25000</v>
      </c>
      <c r="X52" s="174">
        <v>25000</v>
      </c>
      <c r="Y52" s="174">
        <v>30000</v>
      </c>
    </row>
    <row r="53" spans="1:25" s="108" customFormat="1" ht="15">
      <c r="A53" s="176">
        <v>0.02</v>
      </c>
      <c r="B53" s="137" t="s">
        <v>209</v>
      </c>
      <c r="C53" s="138"/>
      <c r="D53" s="173">
        <f aca="true" t="shared" si="16" ref="D53:Y53">$A$53*D49</f>
        <v>240</v>
      </c>
      <c r="E53" s="173">
        <f t="shared" si="16"/>
        <v>293.65000000000003</v>
      </c>
      <c r="F53" s="173">
        <f t="shared" si="16"/>
        <v>293.65000000000003</v>
      </c>
      <c r="G53" s="173">
        <f t="shared" si="16"/>
        <v>293.65000000000003</v>
      </c>
      <c r="H53" s="173">
        <f t="shared" si="16"/>
        <v>293.65000000000003</v>
      </c>
      <c r="I53" s="173">
        <f t="shared" si="16"/>
        <v>293.65000000000003</v>
      </c>
      <c r="J53" s="173">
        <f t="shared" si="16"/>
        <v>381.15000000000003</v>
      </c>
      <c r="K53" s="173">
        <f t="shared" si="16"/>
        <v>381.15000000000003</v>
      </c>
      <c r="L53" s="173">
        <f t="shared" si="16"/>
        <v>381.15000000000003</v>
      </c>
      <c r="M53" s="173">
        <f t="shared" si="16"/>
        <v>468.65000000000003</v>
      </c>
      <c r="N53" s="173">
        <f t="shared" si="16"/>
        <v>468.65000000000003</v>
      </c>
      <c r="O53" s="173">
        <f t="shared" si="16"/>
        <v>468.65000000000003</v>
      </c>
      <c r="P53" s="173">
        <f t="shared" si="16"/>
        <v>829.74609375</v>
      </c>
      <c r="Q53" s="173">
        <f t="shared" si="16"/>
        <v>829.74609375</v>
      </c>
      <c r="R53" s="173">
        <f t="shared" si="16"/>
        <v>829.74609375</v>
      </c>
      <c r="S53" s="173">
        <f t="shared" si="16"/>
        <v>829.74609375</v>
      </c>
      <c r="T53" s="173">
        <f t="shared" si="16"/>
        <v>829.74609375</v>
      </c>
      <c r="U53" s="173">
        <f t="shared" si="16"/>
        <v>829.74609375</v>
      </c>
      <c r="V53" s="173">
        <f t="shared" si="16"/>
        <v>5667.96875</v>
      </c>
      <c r="W53" s="173">
        <f t="shared" si="16"/>
        <v>17585.9375</v>
      </c>
      <c r="X53" s="173">
        <f t="shared" si="16"/>
        <v>16496.484375</v>
      </c>
      <c r="Y53" s="173">
        <f t="shared" si="16"/>
        <v>22369.53125</v>
      </c>
    </row>
    <row r="54" spans="1:25" s="108" customFormat="1" ht="12.75">
      <c r="A54" s="100"/>
      <c r="B54" s="128" t="s">
        <v>211</v>
      </c>
      <c r="C54" s="129"/>
      <c r="D54" s="108">
        <f aca="true" t="shared" si="17" ref="D54:Y54">SUM(D49:D53)</f>
        <v>14440</v>
      </c>
      <c r="E54" s="108">
        <f t="shared" si="17"/>
        <v>17444.4</v>
      </c>
      <c r="F54" s="108">
        <f t="shared" si="17"/>
        <v>17444.4</v>
      </c>
      <c r="G54" s="108">
        <f t="shared" si="17"/>
        <v>17444.4</v>
      </c>
      <c r="H54" s="108">
        <f t="shared" si="17"/>
        <v>17444.4</v>
      </c>
      <c r="I54" s="108">
        <f t="shared" si="17"/>
        <v>17444.4</v>
      </c>
      <c r="J54" s="108">
        <f t="shared" si="17"/>
        <v>22344.4</v>
      </c>
      <c r="K54" s="108">
        <f t="shared" si="17"/>
        <v>22344.4</v>
      </c>
      <c r="L54" s="108">
        <f t="shared" si="17"/>
        <v>22344.4</v>
      </c>
      <c r="M54" s="108">
        <f t="shared" si="17"/>
        <v>27244.4</v>
      </c>
      <c r="N54" s="108">
        <f t="shared" si="17"/>
        <v>27244.4</v>
      </c>
      <c r="O54" s="108">
        <f t="shared" si="17"/>
        <v>27244.4</v>
      </c>
      <c r="P54" s="108">
        <f t="shared" si="17"/>
        <v>47465.78125</v>
      </c>
      <c r="Q54" s="108">
        <f t="shared" si="17"/>
        <v>47465.78125</v>
      </c>
      <c r="R54" s="108">
        <f t="shared" si="17"/>
        <v>47465.78125</v>
      </c>
      <c r="S54" s="108">
        <f t="shared" si="17"/>
        <v>47465.78125</v>
      </c>
      <c r="T54" s="108">
        <f t="shared" si="17"/>
        <v>47465.78125</v>
      </c>
      <c r="U54" s="108">
        <f t="shared" si="17"/>
        <v>47465.78125</v>
      </c>
      <c r="V54" s="108">
        <f t="shared" si="17"/>
        <v>322406.25</v>
      </c>
      <c r="W54" s="108">
        <f t="shared" si="17"/>
        <v>1009812.5</v>
      </c>
      <c r="X54" s="108">
        <f t="shared" si="17"/>
        <v>937908.59375</v>
      </c>
      <c r="Y54" s="108">
        <f t="shared" si="17"/>
        <v>1341424.21875</v>
      </c>
    </row>
    <row r="55" spans="1:25" s="108" customFormat="1" ht="12.75">
      <c r="A55" s="180"/>
      <c r="B55" s="181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43"/>
      <c r="W55" s="143"/>
      <c r="X55" s="143"/>
      <c r="Y55" s="143"/>
    </row>
    <row r="56" spans="22:31" ht="12.75">
      <c r="V56" s="102"/>
      <c r="AA56" s="120"/>
      <c r="AB56" s="120"/>
      <c r="AC56" s="120"/>
      <c r="AD56" s="120"/>
      <c r="AE56" s="120"/>
    </row>
    <row r="57" spans="1:31" ht="12.75">
      <c r="A57" s="100" t="s">
        <v>211</v>
      </c>
      <c r="V57" s="120"/>
      <c r="W57" s="120"/>
      <c r="X57" s="120"/>
      <c r="Y57" s="120"/>
      <c r="AB57" s="120"/>
      <c r="AC57" s="120"/>
      <c r="AD57" s="120"/>
      <c r="AE57" s="120"/>
    </row>
    <row r="58" spans="2:25" ht="12.75">
      <c r="B58" s="205" t="s">
        <v>251</v>
      </c>
      <c r="D58" s="108">
        <f aca="true" t="shared" si="18" ref="D58:V58">D6+D15+D24+D32+D40+D49</f>
        <v>13000</v>
      </c>
      <c r="E58" s="108">
        <f t="shared" si="18"/>
        <v>20557.5</v>
      </c>
      <c r="F58" s="108">
        <f t="shared" si="18"/>
        <v>20557.5</v>
      </c>
      <c r="G58" s="108">
        <f t="shared" si="18"/>
        <v>20557.5</v>
      </c>
      <c r="H58" s="108">
        <f t="shared" si="18"/>
        <v>20557.5</v>
      </c>
      <c r="I58" s="108">
        <f t="shared" si="18"/>
        <v>20557.5</v>
      </c>
      <c r="J58" s="108">
        <f t="shared" si="18"/>
        <v>33932.5</v>
      </c>
      <c r="K58" s="108">
        <f t="shared" si="18"/>
        <v>33932.5</v>
      </c>
      <c r="L58" s="108">
        <f t="shared" si="18"/>
        <v>33932.5</v>
      </c>
      <c r="M58" s="108">
        <f t="shared" si="18"/>
        <v>44057.5</v>
      </c>
      <c r="N58" s="108">
        <f t="shared" si="18"/>
        <v>44057.5</v>
      </c>
      <c r="O58" s="108">
        <f t="shared" si="18"/>
        <v>44057.5</v>
      </c>
      <c r="P58" s="108">
        <f t="shared" si="18"/>
        <v>98374.8046875</v>
      </c>
      <c r="Q58" s="108">
        <f t="shared" si="18"/>
        <v>98374.8046875</v>
      </c>
      <c r="R58" s="108">
        <f t="shared" si="18"/>
        <v>98374.8046875</v>
      </c>
      <c r="S58" s="108">
        <f t="shared" si="18"/>
        <v>98374.8046875</v>
      </c>
      <c r="T58" s="108">
        <f t="shared" si="18"/>
        <v>98374.8046875</v>
      </c>
      <c r="U58" s="108">
        <f t="shared" si="18"/>
        <v>98374.8046875</v>
      </c>
      <c r="V58" s="108">
        <f t="shared" si="18"/>
        <v>633789.0625</v>
      </c>
      <c r="W58" s="108">
        <f aca="true" t="shared" si="19" ref="W58:Y59">W6+W15+W24+W32+W40+W49</f>
        <v>1883203.125</v>
      </c>
      <c r="X58" s="108">
        <f t="shared" si="19"/>
        <v>2304873.046875</v>
      </c>
      <c r="Y58" s="108">
        <f t="shared" si="19"/>
        <v>3124687.5</v>
      </c>
    </row>
    <row r="59" spans="2:25" ht="12.75">
      <c r="B59" s="139" t="s">
        <v>205</v>
      </c>
      <c r="D59" s="108">
        <f aca="true" t="shared" si="20" ref="D59:V59">D7+D16+D25+D33+D41+D50</f>
        <v>0</v>
      </c>
      <c r="E59" s="108">
        <f t="shared" si="20"/>
        <v>0</v>
      </c>
      <c r="F59" s="108">
        <f t="shared" si="20"/>
        <v>0</v>
      </c>
      <c r="G59" s="108">
        <f t="shared" si="20"/>
        <v>0</v>
      </c>
      <c r="H59" s="108">
        <f t="shared" si="20"/>
        <v>0</v>
      </c>
      <c r="I59" s="108">
        <f t="shared" si="20"/>
        <v>0</v>
      </c>
      <c r="J59" s="108">
        <f t="shared" si="20"/>
        <v>0</v>
      </c>
      <c r="K59" s="108">
        <f t="shared" si="20"/>
        <v>0</v>
      </c>
      <c r="L59" s="108">
        <f t="shared" si="20"/>
        <v>0</v>
      </c>
      <c r="M59" s="108">
        <f t="shared" si="20"/>
        <v>0</v>
      </c>
      <c r="N59" s="108">
        <f t="shared" si="20"/>
        <v>0</v>
      </c>
      <c r="O59" s="108">
        <f t="shared" si="20"/>
        <v>0</v>
      </c>
      <c r="P59" s="108">
        <f t="shared" si="20"/>
        <v>0</v>
      </c>
      <c r="Q59" s="108">
        <f t="shared" si="20"/>
        <v>0</v>
      </c>
      <c r="R59" s="108">
        <f t="shared" si="20"/>
        <v>0</v>
      </c>
      <c r="S59" s="108">
        <f t="shared" si="20"/>
        <v>0</v>
      </c>
      <c r="T59" s="108">
        <f t="shared" si="20"/>
        <v>0</v>
      </c>
      <c r="U59" s="108">
        <f t="shared" si="20"/>
        <v>0</v>
      </c>
      <c r="V59" s="108">
        <f t="shared" si="20"/>
        <v>0</v>
      </c>
      <c r="W59" s="108">
        <f t="shared" si="19"/>
        <v>0</v>
      </c>
      <c r="X59" s="108">
        <f t="shared" si="19"/>
        <v>80521.484375</v>
      </c>
      <c r="Y59" s="108">
        <f t="shared" si="19"/>
        <v>163962.890625</v>
      </c>
    </row>
    <row r="60" spans="2:25" ht="12.75">
      <c r="B60" s="137" t="s">
        <v>206</v>
      </c>
      <c r="D60" s="108">
        <f aca="true" t="shared" si="21" ref="D60:Y60">D8+D17+D26+D34+D51+D42</f>
        <v>1350</v>
      </c>
      <c r="E60" s="108">
        <f t="shared" si="21"/>
        <v>2880.75</v>
      </c>
      <c r="F60" s="108">
        <f t="shared" si="21"/>
        <v>2880.75</v>
      </c>
      <c r="G60" s="108">
        <f t="shared" si="21"/>
        <v>2880.75</v>
      </c>
      <c r="H60" s="108">
        <f t="shared" si="21"/>
        <v>2880.75</v>
      </c>
      <c r="I60" s="108">
        <f t="shared" si="21"/>
        <v>2880.75</v>
      </c>
      <c r="J60" s="108">
        <f t="shared" si="21"/>
        <v>4168.25</v>
      </c>
      <c r="K60" s="108">
        <f t="shared" si="21"/>
        <v>4168.25</v>
      </c>
      <c r="L60" s="108">
        <f t="shared" si="21"/>
        <v>4168.25</v>
      </c>
      <c r="M60" s="108">
        <f t="shared" si="21"/>
        <v>5905.75</v>
      </c>
      <c r="N60" s="108">
        <f t="shared" si="21"/>
        <v>5905.75</v>
      </c>
      <c r="O60" s="108">
        <f t="shared" si="21"/>
        <v>5905.75</v>
      </c>
      <c r="P60" s="108">
        <f t="shared" si="21"/>
        <v>14156.23046875</v>
      </c>
      <c r="Q60" s="108">
        <f t="shared" si="21"/>
        <v>14156.23046875</v>
      </c>
      <c r="R60" s="108">
        <f t="shared" si="21"/>
        <v>14156.23046875</v>
      </c>
      <c r="S60" s="108">
        <f t="shared" si="21"/>
        <v>14156.23046875</v>
      </c>
      <c r="T60" s="108">
        <f t="shared" si="21"/>
        <v>14156.23046875</v>
      </c>
      <c r="U60" s="108">
        <f t="shared" si="21"/>
        <v>14156.23046875</v>
      </c>
      <c r="V60" s="108">
        <f t="shared" si="21"/>
        <v>90371.09375</v>
      </c>
      <c r="W60" s="108">
        <f t="shared" si="21"/>
        <v>312617.1875</v>
      </c>
      <c r="X60" s="108">
        <f t="shared" si="21"/>
        <v>418656.73828125</v>
      </c>
      <c r="Y60" s="108">
        <f t="shared" si="21"/>
        <v>588478.515625</v>
      </c>
    </row>
    <row r="61" spans="2:25" ht="12.75">
      <c r="B61" s="137" t="s">
        <v>59</v>
      </c>
      <c r="D61" s="108">
        <f aca="true" t="shared" si="22" ref="D61:Y61">D10</f>
        <v>2500</v>
      </c>
      <c r="E61" s="108">
        <f t="shared" si="22"/>
        <v>2500</v>
      </c>
      <c r="F61" s="108">
        <f t="shared" si="22"/>
        <v>2500</v>
      </c>
      <c r="G61" s="108">
        <f t="shared" si="22"/>
        <v>2500</v>
      </c>
      <c r="H61" s="108">
        <f t="shared" si="22"/>
        <v>2500</v>
      </c>
      <c r="I61" s="108">
        <f t="shared" si="22"/>
        <v>2500</v>
      </c>
      <c r="J61" s="108">
        <f t="shared" si="22"/>
        <v>5000</v>
      </c>
      <c r="K61" s="108">
        <f t="shared" si="22"/>
        <v>5000</v>
      </c>
      <c r="L61" s="108">
        <f t="shared" si="22"/>
        <v>5000</v>
      </c>
      <c r="M61" s="108">
        <f t="shared" si="22"/>
        <v>5000</v>
      </c>
      <c r="N61" s="108">
        <f t="shared" si="22"/>
        <v>5000</v>
      </c>
      <c r="O61" s="108">
        <f t="shared" si="22"/>
        <v>5000</v>
      </c>
      <c r="P61" s="108">
        <f t="shared" si="22"/>
        <v>5000</v>
      </c>
      <c r="Q61" s="108">
        <f t="shared" si="22"/>
        <v>5000</v>
      </c>
      <c r="R61" s="108">
        <f t="shared" si="22"/>
        <v>5000</v>
      </c>
      <c r="S61" s="108">
        <f t="shared" si="22"/>
        <v>5000</v>
      </c>
      <c r="T61" s="108">
        <f t="shared" si="22"/>
        <v>5000</v>
      </c>
      <c r="U61" s="108">
        <f t="shared" si="22"/>
        <v>5000</v>
      </c>
      <c r="V61" s="108">
        <f t="shared" si="22"/>
        <v>5000</v>
      </c>
      <c r="W61" s="108">
        <f t="shared" si="22"/>
        <v>25000</v>
      </c>
      <c r="X61" s="108">
        <f t="shared" si="22"/>
        <v>25000</v>
      </c>
      <c r="Y61" s="108">
        <f t="shared" si="22"/>
        <v>35000</v>
      </c>
    </row>
    <row r="62" spans="2:25" ht="12.75">
      <c r="B62" s="139" t="s">
        <v>208</v>
      </c>
      <c r="D62" s="108">
        <f aca="true" t="shared" si="23" ref="D62:Y62">D9+D19+D27+D35+D44+D52</f>
        <v>2000</v>
      </c>
      <c r="E62" s="108">
        <f t="shared" si="23"/>
        <v>2000</v>
      </c>
      <c r="F62" s="108">
        <f t="shared" si="23"/>
        <v>2000</v>
      </c>
      <c r="G62" s="108">
        <f t="shared" si="23"/>
        <v>2000</v>
      </c>
      <c r="H62" s="108">
        <f t="shared" si="23"/>
        <v>2000</v>
      </c>
      <c r="I62" s="108">
        <f t="shared" si="23"/>
        <v>2000</v>
      </c>
      <c r="J62" s="108">
        <f t="shared" si="23"/>
        <v>12000</v>
      </c>
      <c r="K62" s="108">
        <f t="shared" si="23"/>
        <v>12000</v>
      </c>
      <c r="L62" s="108">
        <f t="shared" si="23"/>
        <v>12000</v>
      </c>
      <c r="M62" s="108">
        <f t="shared" si="23"/>
        <v>12000</v>
      </c>
      <c r="N62" s="108">
        <f t="shared" si="23"/>
        <v>12000</v>
      </c>
      <c r="O62" s="108">
        <f t="shared" si="23"/>
        <v>12000</v>
      </c>
      <c r="P62" s="108">
        <f t="shared" si="23"/>
        <v>12000</v>
      </c>
      <c r="Q62" s="108">
        <f t="shared" si="23"/>
        <v>12000</v>
      </c>
      <c r="R62" s="108">
        <f t="shared" si="23"/>
        <v>12000</v>
      </c>
      <c r="S62" s="108">
        <f t="shared" si="23"/>
        <v>12000</v>
      </c>
      <c r="T62" s="108">
        <f t="shared" si="23"/>
        <v>12000</v>
      </c>
      <c r="U62" s="108">
        <f t="shared" si="23"/>
        <v>12000</v>
      </c>
      <c r="V62" s="108">
        <f t="shared" si="23"/>
        <v>45000</v>
      </c>
      <c r="W62" s="108">
        <f t="shared" si="23"/>
        <v>255000</v>
      </c>
      <c r="X62" s="108">
        <f t="shared" si="23"/>
        <v>225000</v>
      </c>
      <c r="Y62" s="108">
        <f t="shared" si="23"/>
        <v>280000</v>
      </c>
    </row>
    <row r="63" spans="2:25" ht="12.75">
      <c r="B63" s="139" t="s">
        <v>207</v>
      </c>
      <c r="D63" s="108">
        <f aca="true" t="shared" si="24" ref="D63:Y63">D18+D43</f>
        <v>0</v>
      </c>
      <c r="E63" s="108">
        <f t="shared" si="24"/>
        <v>10000</v>
      </c>
      <c r="F63" s="108">
        <f t="shared" si="24"/>
        <v>0</v>
      </c>
      <c r="G63" s="108">
        <f t="shared" si="24"/>
        <v>0</v>
      </c>
      <c r="H63" s="108">
        <f t="shared" si="24"/>
        <v>0</v>
      </c>
      <c r="I63" s="108">
        <f t="shared" si="24"/>
        <v>0</v>
      </c>
      <c r="J63" s="108">
        <f t="shared" si="24"/>
        <v>5000</v>
      </c>
      <c r="K63" s="108">
        <f t="shared" si="24"/>
        <v>0</v>
      </c>
      <c r="L63" s="108">
        <f t="shared" si="24"/>
        <v>0</v>
      </c>
      <c r="M63" s="108">
        <f t="shared" si="24"/>
        <v>0</v>
      </c>
      <c r="N63" s="108">
        <f t="shared" si="24"/>
        <v>0</v>
      </c>
      <c r="O63" s="108">
        <f t="shared" si="24"/>
        <v>0</v>
      </c>
      <c r="P63" s="108">
        <f t="shared" si="24"/>
        <v>5000</v>
      </c>
      <c r="Q63" s="108">
        <f t="shared" si="24"/>
        <v>0</v>
      </c>
      <c r="R63" s="108">
        <f t="shared" si="24"/>
        <v>0</v>
      </c>
      <c r="S63" s="108">
        <f t="shared" si="24"/>
        <v>0</v>
      </c>
      <c r="T63" s="108">
        <f t="shared" si="24"/>
        <v>0</v>
      </c>
      <c r="U63" s="108">
        <f t="shared" si="24"/>
        <v>0</v>
      </c>
      <c r="V63" s="108">
        <f t="shared" si="24"/>
        <v>10000</v>
      </c>
      <c r="W63" s="108">
        <f t="shared" si="24"/>
        <v>75000</v>
      </c>
      <c r="X63" s="108">
        <f t="shared" si="24"/>
        <v>75000</v>
      </c>
      <c r="Y63" s="108">
        <f t="shared" si="24"/>
        <v>100000</v>
      </c>
    </row>
    <row r="64" spans="2:25" ht="15">
      <c r="B64" s="137" t="s">
        <v>209</v>
      </c>
      <c r="D64" s="173">
        <f aca="true" t="shared" si="25" ref="D64:Y64">D11+D20+D28+D36+D45+D53</f>
        <v>260</v>
      </c>
      <c r="E64" s="173">
        <f t="shared" si="25"/>
        <v>411.15000000000003</v>
      </c>
      <c r="F64" s="173">
        <f t="shared" si="25"/>
        <v>411.15000000000003</v>
      </c>
      <c r="G64" s="173">
        <f t="shared" si="25"/>
        <v>411.15000000000003</v>
      </c>
      <c r="H64" s="173">
        <f t="shared" si="25"/>
        <v>411.15000000000003</v>
      </c>
      <c r="I64" s="173">
        <f t="shared" si="25"/>
        <v>411.15000000000003</v>
      </c>
      <c r="J64" s="173">
        <f t="shared" si="25"/>
        <v>678.6500000000001</v>
      </c>
      <c r="K64" s="173">
        <f t="shared" si="25"/>
        <v>678.6500000000001</v>
      </c>
      <c r="L64" s="173">
        <f t="shared" si="25"/>
        <v>678.6500000000001</v>
      </c>
      <c r="M64" s="173">
        <f t="shared" si="25"/>
        <v>881.1500000000001</v>
      </c>
      <c r="N64" s="173">
        <f t="shared" si="25"/>
        <v>881.1500000000001</v>
      </c>
      <c r="O64" s="173">
        <f t="shared" si="25"/>
        <v>881.1500000000001</v>
      </c>
      <c r="P64" s="173">
        <f t="shared" si="25"/>
        <v>1967.49609375</v>
      </c>
      <c r="Q64" s="173">
        <f t="shared" si="25"/>
        <v>1967.49609375</v>
      </c>
      <c r="R64" s="173">
        <f t="shared" si="25"/>
        <v>1967.49609375</v>
      </c>
      <c r="S64" s="173">
        <f t="shared" si="25"/>
        <v>1967.49609375</v>
      </c>
      <c r="T64" s="173">
        <f t="shared" si="25"/>
        <v>1967.49609375</v>
      </c>
      <c r="U64" s="173">
        <f t="shared" si="25"/>
        <v>1967.49609375</v>
      </c>
      <c r="V64" s="173">
        <f t="shared" si="25"/>
        <v>12675.78125</v>
      </c>
      <c r="W64" s="173">
        <f t="shared" si="25"/>
        <v>37664.0625</v>
      </c>
      <c r="X64" s="173">
        <f t="shared" si="25"/>
        <v>46097.4609375</v>
      </c>
      <c r="Y64" s="173">
        <f t="shared" si="25"/>
        <v>62493.75</v>
      </c>
    </row>
    <row r="65" spans="2:25" ht="12.75">
      <c r="B65" s="128" t="s">
        <v>211</v>
      </c>
      <c r="D65" s="108">
        <f aca="true" t="shared" si="26" ref="D65:Y65">SUM(D58:D64)</f>
        <v>19110</v>
      </c>
      <c r="E65" s="108">
        <f t="shared" si="26"/>
        <v>38349.4</v>
      </c>
      <c r="F65" s="108">
        <f t="shared" si="26"/>
        <v>28349.4</v>
      </c>
      <c r="G65" s="108">
        <f t="shared" si="26"/>
        <v>28349.4</v>
      </c>
      <c r="H65" s="108">
        <f t="shared" si="26"/>
        <v>28349.4</v>
      </c>
      <c r="I65" s="108">
        <f t="shared" si="26"/>
        <v>28349.4</v>
      </c>
      <c r="J65" s="108">
        <f t="shared" si="26"/>
        <v>60779.4</v>
      </c>
      <c r="K65" s="108">
        <f t="shared" si="26"/>
        <v>55779.4</v>
      </c>
      <c r="L65" s="108">
        <f t="shared" si="26"/>
        <v>55779.4</v>
      </c>
      <c r="M65" s="108">
        <f t="shared" si="26"/>
        <v>67844.4</v>
      </c>
      <c r="N65" s="108">
        <f t="shared" si="26"/>
        <v>67844.4</v>
      </c>
      <c r="O65" s="108">
        <f t="shared" si="26"/>
        <v>67844.4</v>
      </c>
      <c r="P65" s="108">
        <f t="shared" si="26"/>
        <v>136498.53125</v>
      </c>
      <c r="Q65" s="108">
        <f t="shared" si="26"/>
        <v>131498.53125</v>
      </c>
      <c r="R65" s="108">
        <f t="shared" si="26"/>
        <v>131498.53125</v>
      </c>
      <c r="S65" s="108">
        <f t="shared" si="26"/>
        <v>131498.53125</v>
      </c>
      <c r="T65" s="108">
        <f t="shared" si="26"/>
        <v>131498.53125</v>
      </c>
      <c r="U65" s="108">
        <f t="shared" si="26"/>
        <v>131498.53125</v>
      </c>
      <c r="V65" s="108">
        <f t="shared" si="26"/>
        <v>796835.9375</v>
      </c>
      <c r="W65" s="108">
        <f t="shared" si="26"/>
        <v>2588484.375</v>
      </c>
      <c r="X65" s="108">
        <f t="shared" si="26"/>
        <v>3175148.73046875</v>
      </c>
      <c r="Y65" s="108">
        <f t="shared" si="26"/>
        <v>4354622.65625</v>
      </c>
    </row>
    <row r="66" spans="1:25" ht="12.75">
      <c r="A66" s="180"/>
      <c r="B66" s="181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43"/>
      <c r="W66" s="143"/>
      <c r="X66" s="143"/>
      <c r="Y66" s="143"/>
    </row>
    <row r="67" spans="1:22" ht="12.75">
      <c r="A67" s="121"/>
      <c r="B67" s="122"/>
      <c r="V67" s="102"/>
    </row>
    <row r="68" spans="1:25" ht="12.75">
      <c r="A68" s="121"/>
      <c r="B68" s="122" t="s">
        <v>93</v>
      </c>
      <c r="D68" s="108">
        <v>0</v>
      </c>
      <c r="E68" s="108">
        <v>0</v>
      </c>
      <c r="F68" s="108">
        <v>0</v>
      </c>
      <c r="G68" s="108">
        <v>0</v>
      </c>
      <c r="H68" s="108">
        <v>0</v>
      </c>
      <c r="I68" s="108">
        <v>0</v>
      </c>
      <c r="J68" s="108">
        <v>1500</v>
      </c>
      <c r="K68" s="108">
        <v>1500</v>
      </c>
      <c r="L68" s="108">
        <v>1500</v>
      </c>
      <c r="M68" s="108">
        <v>1500</v>
      </c>
      <c r="N68" s="108">
        <v>1500</v>
      </c>
      <c r="O68" s="108">
        <v>1500</v>
      </c>
      <c r="P68" s="108">
        <v>1500</v>
      </c>
      <c r="Q68" s="108">
        <v>1500</v>
      </c>
      <c r="R68" s="108">
        <v>1500</v>
      </c>
      <c r="S68" s="108">
        <v>1500</v>
      </c>
      <c r="T68" s="108">
        <v>1500</v>
      </c>
      <c r="U68" s="108">
        <v>1500</v>
      </c>
      <c r="V68" s="108">
        <v>1500</v>
      </c>
      <c r="W68" s="108">
        <v>4000</v>
      </c>
      <c r="X68" s="108">
        <v>6000</v>
      </c>
      <c r="Y68" s="108">
        <v>8000</v>
      </c>
    </row>
    <row r="69" spans="1:25" ht="12.75">
      <c r="A69" s="178">
        <v>15</v>
      </c>
      <c r="B69" s="122" t="s">
        <v>228</v>
      </c>
      <c r="D69" s="117">
        <f aca="true" t="shared" si="27" ref="D69:U69">D68*$A$69/12</f>
        <v>0</v>
      </c>
      <c r="E69" s="117">
        <f t="shared" si="27"/>
        <v>0</v>
      </c>
      <c r="F69" s="117">
        <f t="shared" si="27"/>
        <v>0</v>
      </c>
      <c r="G69" s="117">
        <f t="shared" si="27"/>
        <v>0</v>
      </c>
      <c r="H69" s="117">
        <f t="shared" si="27"/>
        <v>0</v>
      </c>
      <c r="I69" s="117">
        <f t="shared" si="27"/>
        <v>0</v>
      </c>
      <c r="J69" s="117">
        <f t="shared" si="27"/>
        <v>1875</v>
      </c>
      <c r="K69" s="117">
        <f t="shared" si="27"/>
        <v>1875</v>
      </c>
      <c r="L69" s="117">
        <f t="shared" si="27"/>
        <v>1875</v>
      </c>
      <c r="M69" s="117">
        <f t="shared" si="27"/>
        <v>1875</v>
      </c>
      <c r="N69" s="117">
        <f t="shared" si="27"/>
        <v>1875</v>
      </c>
      <c r="O69" s="117">
        <f t="shared" si="27"/>
        <v>1875</v>
      </c>
      <c r="P69" s="117">
        <f t="shared" si="27"/>
        <v>1875</v>
      </c>
      <c r="Q69" s="117">
        <f t="shared" si="27"/>
        <v>1875</v>
      </c>
      <c r="R69" s="117">
        <f t="shared" si="27"/>
        <v>1875</v>
      </c>
      <c r="S69" s="117">
        <f t="shared" si="27"/>
        <v>1875</v>
      </c>
      <c r="T69" s="117">
        <f t="shared" si="27"/>
        <v>1875</v>
      </c>
      <c r="U69" s="117">
        <f t="shared" si="27"/>
        <v>1875</v>
      </c>
      <c r="V69" s="117">
        <f>V68*$A$69/2</f>
        <v>11250</v>
      </c>
      <c r="W69" s="117">
        <f>W68*$A$69</f>
        <v>60000</v>
      </c>
      <c r="X69" s="117">
        <f>X68*$A$69</f>
        <v>90000</v>
      </c>
      <c r="Y69" s="117">
        <f>Y68*$A$69</f>
        <v>120000</v>
      </c>
    </row>
    <row r="70" spans="1:25" ht="12.75">
      <c r="A70" s="167">
        <v>0.1</v>
      </c>
      <c r="B70" s="121" t="s">
        <v>92</v>
      </c>
      <c r="D70" s="117">
        <f aca="true" t="shared" si="28" ref="D70:Y70">D69*$A$70</f>
        <v>0</v>
      </c>
      <c r="E70" s="117">
        <f t="shared" si="28"/>
        <v>0</v>
      </c>
      <c r="F70" s="117">
        <f t="shared" si="28"/>
        <v>0</v>
      </c>
      <c r="G70" s="117">
        <f t="shared" si="28"/>
        <v>0</v>
      </c>
      <c r="H70" s="117">
        <f t="shared" si="28"/>
        <v>0</v>
      </c>
      <c r="I70" s="117">
        <f t="shared" si="28"/>
        <v>0</v>
      </c>
      <c r="J70" s="117">
        <f t="shared" si="28"/>
        <v>187.5</v>
      </c>
      <c r="K70" s="117">
        <f t="shared" si="28"/>
        <v>187.5</v>
      </c>
      <c r="L70" s="117">
        <f t="shared" si="28"/>
        <v>187.5</v>
      </c>
      <c r="M70" s="117">
        <f t="shared" si="28"/>
        <v>187.5</v>
      </c>
      <c r="N70" s="117">
        <f t="shared" si="28"/>
        <v>187.5</v>
      </c>
      <c r="O70" s="117">
        <f t="shared" si="28"/>
        <v>187.5</v>
      </c>
      <c r="P70" s="117">
        <f t="shared" si="28"/>
        <v>187.5</v>
      </c>
      <c r="Q70" s="117">
        <f t="shared" si="28"/>
        <v>187.5</v>
      </c>
      <c r="R70" s="117">
        <f t="shared" si="28"/>
        <v>187.5</v>
      </c>
      <c r="S70" s="117">
        <f t="shared" si="28"/>
        <v>187.5</v>
      </c>
      <c r="T70" s="117">
        <f t="shared" si="28"/>
        <v>187.5</v>
      </c>
      <c r="U70" s="117">
        <f t="shared" si="28"/>
        <v>187.5</v>
      </c>
      <c r="V70" s="117">
        <f t="shared" si="28"/>
        <v>1125</v>
      </c>
      <c r="W70" s="117">
        <f t="shared" si="28"/>
        <v>6000</v>
      </c>
      <c r="X70" s="117">
        <f t="shared" si="28"/>
        <v>9000</v>
      </c>
      <c r="Y70" s="117">
        <f t="shared" si="28"/>
        <v>12000</v>
      </c>
    </row>
    <row r="71" spans="1:25" ht="12.75">
      <c r="A71" s="16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</row>
    <row r="72" spans="1:25" ht="12.75">
      <c r="A72" s="167" t="s">
        <v>94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</row>
    <row r="73" spans="1:25" ht="12.75">
      <c r="A73" s="167"/>
      <c r="B73" s="121" t="s">
        <v>229</v>
      </c>
      <c r="D73" s="117">
        <v>3000</v>
      </c>
      <c r="E73" s="117">
        <v>3000</v>
      </c>
      <c r="F73" s="117"/>
      <c r="G73" s="117"/>
      <c r="H73" s="117"/>
      <c r="I73" s="117"/>
      <c r="J73" s="117">
        <v>6000</v>
      </c>
      <c r="K73" s="117"/>
      <c r="L73" s="117"/>
      <c r="M73" s="117"/>
      <c r="N73" s="117"/>
      <c r="O73" s="117"/>
      <c r="P73" s="117">
        <v>6000</v>
      </c>
      <c r="Q73" s="117"/>
      <c r="R73" s="117"/>
      <c r="S73" s="117"/>
      <c r="T73" s="117"/>
      <c r="U73" s="117"/>
      <c r="V73" s="117">
        <v>12000</v>
      </c>
      <c r="W73" s="117">
        <v>24000</v>
      </c>
      <c r="X73" s="117">
        <v>48000</v>
      </c>
      <c r="Y73" s="117">
        <v>96000</v>
      </c>
    </row>
    <row r="74" spans="1:25" ht="12.75">
      <c r="A74" s="168">
        <v>1500</v>
      </c>
      <c r="B74" s="121" t="s">
        <v>230</v>
      </c>
      <c r="D74" s="177">
        <v>0</v>
      </c>
      <c r="E74" s="177">
        <v>0</v>
      </c>
      <c r="F74" s="177">
        <v>0</v>
      </c>
      <c r="G74" s="177">
        <v>0</v>
      </c>
      <c r="H74" s="177">
        <v>0</v>
      </c>
      <c r="I74" s="177">
        <v>0</v>
      </c>
      <c r="J74" s="177">
        <v>1500</v>
      </c>
      <c r="K74" s="177">
        <v>1500</v>
      </c>
      <c r="L74" s="177">
        <v>1500</v>
      </c>
      <c r="M74" s="177">
        <v>1500</v>
      </c>
      <c r="N74" s="177">
        <v>1500</v>
      </c>
      <c r="O74" s="177">
        <v>1500</v>
      </c>
      <c r="P74" s="177">
        <v>1500</v>
      </c>
      <c r="Q74" s="177">
        <v>1500</v>
      </c>
      <c r="R74" s="177">
        <v>1500</v>
      </c>
      <c r="S74" s="177">
        <v>1500</v>
      </c>
      <c r="T74" s="177">
        <v>1500</v>
      </c>
      <c r="U74" s="177">
        <v>1500</v>
      </c>
      <c r="V74" s="177">
        <v>0</v>
      </c>
      <c r="W74" s="177">
        <f>W83*$A$74</f>
        <v>22500</v>
      </c>
      <c r="X74" s="177">
        <f>(X83-W83)*$A$74</f>
        <v>7500</v>
      </c>
      <c r="Y74" s="177">
        <f>(Y83-X83)*$A$74</f>
        <v>10500</v>
      </c>
    </row>
    <row r="75" spans="1:25" ht="15">
      <c r="A75" s="168">
        <v>1500</v>
      </c>
      <c r="B75" s="121" t="s">
        <v>231</v>
      </c>
      <c r="D75" s="179">
        <v>1500</v>
      </c>
      <c r="E75" s="179">
        <v>0</v>
      </c>
      <c r="F75" s="179">
        <v>0</v>
      </c>
      <c r="G75" s="179">
        <v>0</v>
      </c>
      <c r="H75" s="179">
        <v>0</v>
      </c>
      <c r="I75" s="179">
        <v>0</v>
      </c>
      <c r="J75" s="179">
        <v>1500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1500</v>
      </c>
      <c r="Q75" s="179">
        <v>0</v>
      </c>
      <c r="R75" s="179">
        <v>0</v>
      </c>
      <c r="S75" s="179">
        <v>0</v>
      </c>
      <c r="T75" s="179">
        <v>0</v>
      </c>
      <c r="U75" s="179">
        <v>0</v>
      </c>
      <c r="V75" s="179">
        <f>$A$75*V83</f>
        <v>6750</v>
      </c>
      <c r="W75" s="179">
        <f>$A$75*W83</f>
        <v>22500</v>
      </c>
      <c r="X75" s="179">
        <f>$A$75*(X83-W83)</f>
        <v>7500</v>
      </c>
      <c r="Y75" s="179">
        <f>$A$75*(Y83-X83)</f>
        <v>10500</v>
      </c>
    </row>
    <row r="76" spans="4:25" ht="12.75">
      <c r="D76" s="177">
        <f aca="true" t="shared" si="29" ref="D76:Y76">SUM(D73:D75)</f>
        <v>4500</v>
      </c>
      <c r="E76" s="177">
        <f t="shared" si="29"/>
        <v>3000</v>
      </c>
      <c r="F76" s="177">
        <f t="shared" si="29"/>
        <v>0</v>
      </c>
      <c r="G76" s="177">
        <f t="shared" si="29"/>
        <v>0</v>
      </c>
      <c r="H76" s="177">
        <f t="shared" si="29"/>
        <v>0</v>
      </c>
      <c r="I76" s="177">
        <f t="shared" si="29"/>
        <v>0</v>
      </c>
      <c r="J76" s="177">
        <f t="shared" si="29"/>
        <v>9000</v>
      </c>
      <c r="K76" s="177">
        <f t="shared" si="29"/>
        <v>1500</v>
      </c>
      <c r="L76" s="177">
        <f t="shared" si="29"/>
        <v>1500</v>
      </c>
      <c r="M76" s="177">
        <f t="shared" si="29"/>
        <v>1500</v>
      </c>
      <c r="N76" s="177">
        <f t="shared" si="29"/>
        <v>1500</v>
      </c>
      <c r="O76" s="177">
        <f t="shared" si="29"/>
        <v>1500</v>
      </c>
      <c r="P76" s="177">
        <f t="shared" si="29"/>
        <v>9000</v>
      </c>
      <c r="Q76" s="177">
        <f t="shared" si="29"/>
        <v>1500</v>
      </c>
      <c r="R76" s="177">
        <f t="shared" si="29"/>
        <v>1500</v>
      </c>
      <c r="S76" s="177">
        <f t="shared" si="29"/>
        <v>1500</v>
      </c>
      <c r="T76" s="177">
        <f t="shared" si="29"/>
        <v>1500</v>
      </c>
      <c r="U76" s="177">
        <f t="shared" si="29"/>
        <v>1500</v>
      </c>
      <c r="V76" s="177">
        <f t="shared" si="29"/>
        <v>18750</v>
      </c>
      <c r="W76" s="177">
        <f t="shared" si="29"/>
        <v>69000</v>
      </c>
      <c r="X76" s="177">
        <f t="shared" si="29"/>
        <v>63000</v>
      </c>
      <c r="Y76" s="177">
        <f t="shared" si="29"/>
        <v>117000</v>
      </c>
    </row>
    <row r="77" spans="4:25" ht="12.75"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2:25" ht="12.75">
      <c r="B78" s="121" t="s">
        <v>95</v>
      </c>
      <c r="D78" s="177">
        <f>D76/3/12</f>
        <v>125</v>
      </c>
      <c r="E78" s="177">
        <f>D78</f>
        <v>125</v>
      </c>
      <c r="F78" s="177">
        <f>E78</f>
        <v>125</v>
      </c>
      <c r="G78" s="177">
        <f>F78</f>
        <v>125</v>
      </c>
      <c r="H78" s="177">
        <f>G78</f>
        <v>125</v>
      </c>
      <c r="I78" s="177">
        <f>H78</f>
        <v>125</v>
      </c>
      <c r="J78" s="177">
        <f>J76/3/12+I78</f>
        <v>375</v>
      </c>
      <c r="K78" s="177">
        <f aca="true" t="shared" si="30" ref="K78:U78">(K76/3/12)+J78</f>
        <v>416.6666666666667</v>
      </c>
      <c r="L78" s="177">
        <f t="shared" si="30"/>
        <v>458.33333333333337</v>
      </c>
      <c r="M78" s="177">
        <f t="shared" si="30"/>
        <v>500.00000000000006</v>
      </c>
      <c r="N78" s="177">
        <f t="shared" si="30"/>
        <v>541.6666666666667</v>
      </c>
      <c r="O78" s="177">
        <f t="shared" si="30"/>
        <v>583.3333333333334</v>
      </c>
      <c r="P78" s="177">
        <f t="shared" si="30"/>
        <v>833.3333333333334</v>
      </c>
      <c r="Q78" s="177">
        <f t="shared" si="30"/>
        <v>875</v>
      </c>
      <c r="R78" s="177">
        <f t="shared" si="30"/>
        <v>916.6666666666666</v>
      </c>
      <c r="S78" s="177">
        <f t="shared" si="30"/>
        <v>958.3333333333333</v>
      </c>
      <c r="T78" s="177">
        <f t="shared" si="30"/>
        <v>999.9999999999999</v>
      </c>
      <c r="U78" s="177">
        <f t="shared" si="30"/>
        <v>1041.6666666666665</v>
      </c>
      <c r="V78" s="177">
        <f>(V76/3)+U78</f>
        <v>7291.666666666666</v>
      </c>
      <c r="W78" s="177">
        <f>(W76/3)+V78</f>
        <v>30291.666666666664</v>
      </c>
      <c r="X78" s="177">
        <f>(X76/3)+W78</f>
        <v>51291.666666666664</v>
      </c>
      <c r="Y78" s="177">
        <f>(Y76/3)+X78</f>
        <v>90291.66666666666</v>
      </c>
    </row>
    <row r="79" spans="2:25" ht="12.75">
      <c r="B79" s="121" t="s">
        <v>96</v>
      </c>
      <c r="D79" s="177">
        <f aca="true" t="shared" si="31" ref="D79:Y79">D78+C79</f>
        <v>125</v>
      </c>
      <c r="E79" s="177">
        <f t="shared" si="31"/>
        <v>250</v>
      </c>
      <c r="F79" s="177">
        <f t="shared" si="31"/>
        <v>375</v>
      </c>
      <c r="G79" s="177">
        <f t="shared" si="31"/>
        <v>500</v>
      </c>
      <c r="H79" s="177">
        <f t="shared" si="31"/>
        <v>625</v>
      </c>
      <c r="I79" s="177">
        <f t="shared" si="31"/>
        <v>750</v>
      </c>
      <c r="J79" s="177">
        <f t="shared" si="31"/>
        <v>1125</v>
      </c>
      <c r="K79" s="177">
        <f t="shared" si="31"/>
        <v>1541.6666666666667</v>
      </c>
      <c r="L79" s="177">
        <f t="shared" si="31"/>
        <v>2000</v>
      </c>
      <c r="M79" s="177">
        <f t="shared" si="31"/>
        <v>2500</v>
      </c>
      <c r="N79" s="177">
        <f t="shared" si="31"/>
        <v>3041.666666666667</v>
      </c>
      <c r="O79" s="177">
        <f t="shared" si="31"/>
        <v>3625.0000000000005</v>
      </c>
      <c r="P79" s="177">
        <f t="shared" si="31"/>
        <v>4458.333333333334</v>
      </c>
      <c r="Q79" s="177">
        <f t="shared" si="31"/>
        <v>5333.333333333334</v>
      </c>
      <c r="R79" s="177">
        <f t="shared" si="31"/>
        <v>6250.000000000001</v>
      </c>
      <c r="S79" s="177">
        <f t="shared" si="31"/>
        <v>7208.333333333334</v>
      </c>
      <c r="T79" s="177">
        <f t="shared" si="31"/>
        <v>8208.333333333334</v>
      </c>
      <c r="U79" s="177">
        <f t="shared" si="31"/>
        <v>9250</v>
      </c>
      <c r="V79" s="177">
        <f t="shared" si="31"/>
        <v>16541.666666666664</v>
      </c>
      <c r="W79" s="177">
        <f t="shared" si="31"/>
        <v>46833.33333333333</v>
      </c>
      <c r="X79" s="177">
        <f t="shared" si="31"/>
        <v>98125</v>
      </c>
      <c r="Y79" s="177">
        <f t="shared" si="31"/>
        <v>188416.66666666666</v>
      </c>
    </row>
    <row r="80" spans="4:25" ht="12.75"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1:25" ht="13.5" thickBot="1">
      <c r="A81" s="167" t="s">
        <v>97</v>
      </c>
      <c r="D81" s="184">
        <f aca="true" t="shared" si="32" ref="D81:Y81">D65+D69+D70+D78</f>
        <v>19235</v>
      </c>
      <c r="E81" s="184">
        <f t="shared" si="32"/>
        <v>38474.4</v>
      </c>
      <c r="F81" s="184">
        <f t="shared" si="32"/>
        <v>28474.4</v>
      </c>
      <c r="G81" s="184">
        <f t="shared" si="32"/>
        <v>28474.4</v>
      </c>
      <c r="H81" s="184">
        <f t="shared" si="32"/>
        <v>28474.4</v>
      </c>
      <c r="I81" s="184">
        <f t="shared" si="32"/>
        <v>28474.4</v>
      </c>
      <c r="J81" s="184">
        <f t="shared" si="32"/>
        <v>63216.9</v>
      </c>
      <c r="K81" s="184">
        <f t="shared" si="32"/>
        <v>58258.566666666666</v>
      </c>
      <c r="L81" s="184">
        <f t="shared" si="32"/>
        <v>58300.23333333334</v>
      </c>
      <c r="M81" s="184">
        <f t="shared" si="32"/>
        <v>70406.9</v>
      </c>
      <c r="N81" s="184">
        <f t="shared" si="32"/>
        <v>70448.56666666667</v>
      </c>
      <c r="O81" s="184">
        <f t="shared" si="32"/>
        <v>70490.23333333332</v>
      </c>
      <c r="P81" s="184">
        <f t="shared" si="32"/>
        <v>139394.36458333334</v>
      </c>
      <c r="Q81" s="184">
        <f t="shared" si="32"/>
        <v>134436.03125</v>
      </c>
      <c r="R81" s="184">
        <f t="shared" si="32"/>
        <v>134477.69791666666</v>
      </c>
      <c r="S81" s="184">
        <f t="shared" si="32"/>
        <v>134519.36458333334</v>
      </c>
      <c r="T81" s="184">
        <f t="shared" si="32"/>
        <v>134561.03125</v>
      </c>
      <c r="U81" s="184">
        <f t="shared" si="32"/>
        <v>134602.69791666666</v>
      </c>
      <c r="V81" s="184">
        <f t="shared" si="32"/>
        <v>816502.6041666666</v>
      </c>
      <c r="W81" s="184">
        <f t="shared" si="32"/>
        <v>2684776.0416666665</v>
      </c>
      <c r="X81" s="184">
        <f t="shared" si="32"/>
        <v>3325440.3971354165</v>
      </c>
      <c r="Y81" s="184">
        <f t="shared" si="32"/>
        <v>4576914.322916667</v>
      </c>
    </row>
    <row r="82" ht="13.5" thickTop="1">
      <c r="V82" s="102"/>
    </row>
    <row r="83" spans="1:25" ht="12.75">
      <c r="A83" s="121"/>
      <c r="B83" s="122" t="s">
        <v>227</v>
      </c>
      <c r="D83" s="213">
        <f>'Salaries '!D59</f>
        <v>0.09</v>
      </c>
      <c r="E83" s="213">
        <f>'Salaries '!H59</f>
        <v>0.16329999999999997</v>
      </c>
      <c r="F83" s="213">
        <f>'Salaries '!L59</f>
        <v>0.16329999999999997</v>
      </c>
      <c r="G83" s="213">
        <f>'Salaries '!P59</f>
        <v>0.16329999999999997</v>
      </c>
      <c r="H83" s="213">
        <f>'Salaries '!T59</f>
        <v>0.16329999999999997</v>
      </c>
      <c r="I83" s="213">
        <f>'Salaries '!X59</f>
        <v>0.16329999999999997</v>
      </c>
      <c r="J83" s="213">
        <f>'Salaries '!AB59</f>
        <v>0.2833</v>
      </c>
      <c r="K83" s="213">
        <f>'Salaries '!AF59</f>
        <v>0.2833</v>
      </c>
      <c r="L83" s="213">
        <f>'Salaries '!AJ59</f>
        <v>0.2833</v>
      </c>
      <c r="M83" s="213">
        <f>'Salaries '!AN59</f>
        <v>0.3833</v>
      </c>
      <c r="N83" s="213">
        <f>'Salaries '!AR59</f>
        <v>0.3833</v>
      </c>
      <c r="O83" s="213">
        <f>'Salaries '!AV59</f>
        <v>0.3833</v>
      </c>
      <c r="P83" s="213">
        <f>'Salaries '!AZ59</f>
        <v>0.6565</v>
      </c>
      <c r="Q83" s="213">
        <f>'Salaries '!BD59</f>
        <v>0.6565</v>
      </c>
      <c r="R83" s="213">
        <f>'Salaries '!BH59</f>
        <v>0.6565</v>
      </c>
      <c r="S83" s="213">
        <f>'Salaries '!BL59</f>
        <v>0.6565</v>
      </c>
      <c r="T83" s="213">
        <f>'Salaries '!BP59</f>
        <v>0.6565</v>
      </c>
      <c r="U83" s="213">
        <f>'Salaries '!BT59</f>
        <v>0.6565</v>
      </c>
      <c r="V83" s="206">
        <f>'Salaries '!BX59</f>
        <v>4.5</v>
      </c>
      <c r="W83" s="102">
        <f>'Salaries '!CB59</f>
        <v>15</v>
      </c>
      <c r="X83" s="102">
        <f>'Salaries '!CF59</f>
        <v>20</v>
      </c>
      <c r="Y83" s="102">
        <f>'Salaries '!CJ59</f>
        <v>27</v>
      </c>
    </row>
    <row r="84" spans="1:25" ht="12.75">
      <c r="A84" s="121"/>
      <c r="B84" s="122"/>
      <c r="V84" s="136"/>
      <c r="W84" s="136"/>
      <c r="X84" s="136"/>
      <c r="Y84" s="136"/>
    </row>
    <row r="85" spans="1:22" ht="12.75">
      <c r="A85" s="121"/>
      <c r="B85" s="122"/>
      <c r="V85" s="102"/>
    </row>
    <row r="86" ht="12.75">
      <c r="V86" s="102"/>
    </row>
    <row r="87" ht="12.75">
      <c r="V87" s="102"/>
    </row>
    <row r="88" ht="12.75">
      <c r="V88" s="102"/>
    </row>
    <row r="89" ht="12.75">
      <c r="V89" s="102"/>
    </row>
    <row r="90" ht="12.75">
      <c r="V90" s="102"/>
    </row>
    <row r="91" ht="12.75">
      <c r="V91" s="102"/>
    </row>
    <row r="92" ht="12.75">
      <c r="V92" s="102"/>
    </row>
    <row r="93" ht="12.75">
      <c r="V93" s="102"/>
    </row>
    <row r="94" ht="12.75">
      <c r="V94" s="102"/>
    </row>
  </sheetData>
  <sheetProtection/>
  <printOptions horizontalCentered="1" verticalCentered="1"/>
  <pageMargins left="0.25" right="0.25" top="0.25" bottom="0.25" header="0.26" footer="0.5"/>
  <pageSetup fitToHeight="2" fitToWidth="3" horizontalDpi="600" verticalDpi="600" orientation="landscape" scale="99" r:id="rId1"/>
  <headerFooter alignWithMargins="0">
    <oddHeader>&amp;LConfidential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4" sqref="A14"/>
    </sheetView>
  </sheetViews>
  <sheetFormatPr defaultColWidth="8.8515625" defaultRowHeight="12.75"/>
  <cols>
    <col min="1" max="1" width="62.140625" style="0" bestFit="1" customWidth="1"/>
    <col min="2" max="2" width="19.57421875" style="92" bestFit="1" customWidth="1"/>
    <col min="3" max="3" width="8.8515625" style="92" bestFit="1" customWidth="1"/>
    <col min="4" max="4" width="19.140625" style="92" bestFit="1" customWidth="1"/>
    <col min="5" max="5" width="18.00390625" style="92" bestFit="1" customWidth="1"/>
    <col min="6" max="6" width="17.28125" style="92" bestFit="1" customWidth="1"/>
    <col min="7" max="7" width="17.7109375" style="92" bestFit="1" customWidth="1"/>
    <col min="8" max="9" width="17.00390625" style="92" bestFit="1" customWidth="1"/>
    <col min="10" max="10" width="17.57421875" style="92" bestFit="1" customWidth="1"/>
    <col min="11" max="11" width="18.7109375" style="92" bestFit="1" customWidth="1"/>
    <col min="12" max="17" width="16.00390625" style="92" bestFit="1" customWidth="1"/>
    <col min="18" max="18" width="18.7109375" style="92" bestFit="1" customWidth="1"/>
    <col min="19" max="19" width="17.00390625" style="92" customWidth="1"/>
    <col min="20" max="25" width="16.00390625" style="92" bestFit="1" customWidth="1"/>
    <col min="26" max="26" width="19.7109375" style="92" bestFit="1" customWidth="1"/>
    <col min="27" max="27" width="17.00390625" style="92" customWidth="1"/>
    <col min="28" max="31" width="17.00390625" style="0" bestFit="1" customWidth="1"/>
  </cols>
  <sheetData>
    <row r="1" spans="1:38" s="6" customFormat="1" ht="12.75">
      <c r="A1" s="4" t="s">
        <v>320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7"/>
      <c r="AC1" s="7"/>
      <c r="AD1" s="7"/>
      <c r="AE1" s="7"/>
      <c r="AH1" s="7"/>
      <c r="AI1" s="7"/>
      <c r="AJ1" s="7"/>
      <c r="AK1" s="8"/>
      <c r="AL1" s="8"/>
    </row>
    <row r="2" spans="1:38" s="6" customFormat="1" ht="12.75">
      <c r="A2" s="4" t="s">
        <v>167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7"/>
      <c r="AC2" s="7"/>
      <c r="AD2" s="7"/>
      <c r="AE2" s="7"/>
      <c r="AG2" s="91"/>
      <c r="AH2" s="99"/>
      <c r="AI2" s="97"/>
      <c r="AJ2" s="97"/>
      <c r="AK2" s="96"/>
      <c r="AL2" s="96"/>
    </row>
    <row r="3" spans="1:27" s="106" customFormat="1" ht="12.7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31" ht="12.75">
      <c r="A4" s="217"/>
      <c r="B4" s="271"/>
      <c r="C4" s="271"/>
      <c r="D4" s="233" t="s">
        <v>278</v>
      </c>
      <c r="E4" s="271"/>
      <c r="F4" s="271"/>
      <c r="G4" s="271"/>
      <c r="H4" s="271"/>
      <c r="I4" s="271"/>
      <c r="J4" s="271"/>
      <c r="K4" s="233" t="s">
        <v>279</v>
      </c>
      <c r="L4" s="271"/>
      <c r="M4" s="271"/>
      <c r="N4" s="271"/>
      <c r="O4" s="271"/>
      <c r="P4" s="271"/>
      <c r="Q4" s="271"/>
      <c r="R4" s="233" t="s">
        <v>284</v>
      </c>
      <c r="S4" s="233" t="s">
        <v>280</v>
      </c>
      <c r="T4" s="271"/>
      <c r="U4" s="271"/>
      <c r="V4" s="271"/>
      <c r="W4" s="271"/>
      <c r="X4" s="271"/>
      <c r="Y4" s="271"/>
      <c r="Z4" s="233" t="s">
        <v>282</v>
      </c>
      <c r="AA4" s="233" t="s">
        <v>281</v>
      </c>
      <c r="AB4" s="217"/>
      <c r="AC4" s="233"/>
      <c r="AD4" s="233"/>
      <c r="AE4" s="233"/>
    </row>
    <row r="5" spans="1:31" ht="12.75">
      <c r="A5" s="217"/>
      <c r="B5" s="233"/>
      <c r="C5" s="233"/>
      <c r="D5" s="233" t="s">
        <v>285</v>
      </c>
      <c r="E5" s="233" t="s">
        <v>260</v>
      </c>
      <c r="F5" s="233" t="s">
        <v>261</v>
      </c>
      <c r="G5" s="233" t="s">
        <v>262</v>
      </c>
      <c r="H5" s="233" t="s">
        <v>263</v>
      </c>
      <c r="I5" s="233" t="s">
        <v>264</v>
      </c>
      <c r="J5" s="233" t="s">
        <v>271</v>
      </c>
      <c r="K5" s="233" t="s">
        <v>48</v>
      </c>
      <c r="L5" s="233" t="s">
        <v>265</v>
      </c>
      <c r="M5" s="233" t="s">
        <v>266</v>
      </c>
      <c r="N5" s="233" t="s">
        <v>267</v>
      </c>
      <c r="O5" s="233" t="s">
        <v>268</v>
      </c>
      <c r="P5" s="233" t="s">
        <v>269</v>
      </c>
      <c r="Q5" s="233" t="s">
        <v>270</v>
      </c>
      <c r="R5" s="233" t="s">
        <v>283</v>
      </c>
      <c r="S5" s="233" t="s">
        <v>48</v>
      </c>
      <c r="T5" s="233" t="s">
        <v>272</v>
      </c>
      <c r="U5" s="233" t="s">
        <v>273</v>
      </c>
      <c r="V5" s="233" t="s">
        <v>274</v>
      </c>
      <c r="W5" s="233" t="s">
        <v>275</v>
      </c>
      <c r="X5" s="233" t="s">
        <v>276</v>
      </c>
      <c r="Y5" s="233" t="s">
        <v>277</v>
      </c>
      <c r="Z5" s="233" t="s">
        <v>283</v>
      </c>
      <c r="AA5" s="233" t="s">
        <v>48</v>
      </c>
      <c r="AB5" s="233" t="s">
        <v>293</v>
      </c>
      <c r="AC5" s="233" t="s">
        <v>147</v>
      </c>
      <c r="AD5" s="233" t="s">
        <v>148</v>
      </c>
      <c r="AE5" s="233" t="s">
        <v>149</v>
      </c>
    </row>
    <row r="6" spans="1:31" ht="12.75">
      <c r="A6" s="272" t="s">
        <v>290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1:31" ht="12.75">
      <c r="A7" s="220"/>
      <c r="B7" s="273"/>
      <c r="C7" s="274"/>
      <c r="D7" s="275">
        <v>120000000000</v>
      </c>
      <c r="E7" s="276">
        <f>$D$7/12</f>
        <v>10000000000</v>
      </c>
      <c r="F7" s="276">
        <f>E7*(1+F8)</f>
        <v>10004166666.666668</v>
      </c>
      <c r="G7" s="276">
        <f>F7*(1+G8)</f>
        <v>10008335069.444447</v>
      </c>
      <c r="H7" s="276">
        <f>G7*(1+H8)</f>
        <v>10012505209.056715</v>
      </c>
      <c r="I7" s="276">
        <f>H7*(1+I8)</f>
        <v>10016677086.227156</v>
      </c>
      <c r="J7" s="276">
        <f>I7*(1+J8)</f>
        <v>10020850701.67975</v>
      </c>
      <c r="K7" s="219">
        <f>SUM(E7:J7)</f>
        <v>60062534733.07474</v>
      </c>
      <c r="L7" s="276">
        <f>J7*(1+L8)</f>
        <v>10025026056.138784</v>
      </c>
      <c r="M7" s="276">
        <f>L7*(1+M8)</f>
        <v>10029203150.328842</v>
      </c>
      <c r="N7" s="276">
        <f>M7*(1+N8)</f>
        <v>10033381984.974813</v>
      </c>
      <c r="O7" s="276">
        <f>N7*(1+O8)</f>
        <v>10037562560.801888</v>
      </c>
      <c r="P7" s="276">
        <f>O7*(1+P8)</f>
        <v>10041744878.535555</v>
      </c>
      <c r="Q7" s="276">
        <f>P7*(1+Q8)</f>
        <v>10045928938.901611</v>
      </c>
      <c r="R7" s="219">
        <f>SUM(L7:Q7)</f>
        <v>60212847569.681496</v>
      </c>
      <c r="S7" s="276">
        <f>R7+K7</f>
        <v>120275382302.75623</v>
      </c>
      <c r="T7" s="276">
        <f>Q7*(1+T8)</f>
        <v>10050114742.626154</v>
      </c>
      <c r="U7" s="276">
        <f>T7*(1+U8)</f>
        <v>10054302290.435583</v>
      </c>
      <c r="V7" s="276">
        <f>U7*(1+V8)</f>
        <v>10058491583.056599</v>
      </c>
      <c r="W7" s="276">
        <f>V7*(1+W8)</f>
        <v>10062682621.216206</v>
      </c>
      <c r="X7" s="276">
        <f>W7*(1+X8)</f>
        <v>10066875405.641712</v>
      </c>
      <c r="Y7" s="276">
        <f>X7*(1+Y8)</f>
        <v>10071069937.06073</v>
      </c>
      <c r="Z7" s="219">
        <f>SUM(T7:Y7)</f>
        <v>60363536580.03699</v>
      </c>
      <c r="AA7" s="276">
        <f>Z7+R7+K7</f>
        <v>180638918882.7932</v>
      </c>
      <c r="AB7" s="275">
        <f>Y7*6*(1+AB8)</f>
        <v>60728551720.4762</v>
      </c>
      <c r="AC7" s="275">
        <f>(AB7*AC8)+2*AB7</f>
        <v>122064388958.15715</v>
      </c>
      <c r="AD7" s="275">
        <f>(AC7*AD8)+AC7</f>
        <v>123285032847.73872</v>
      </c>
      <c r="AE7" s="275">
        <f>(AD7*AE8)+AD7</f>
        <v>124517883176.21611</v>
      </c>
    </row>
    <row r="8" spans="1:31" ht="12.75">
      <c r="A8" s="220"/>
      <c r="B8" s="271"/>
      <c r="C8" s="274" t="s">
        <v>156</v>
      </c>
      <c r="D8" s="277"/>
      <c r="E8" s="271"/>
      <c r="F8" s="278">
        <f>AB8/12</f>
        <v>0.0004166666666666667</v>
      </c>
      <c r="G8" s="278">
        <f>F8</f>
        <v>0.0004166666666666667</v>
      </c>
      <c r="H8" s="278">
        <f>G8</f>
        <v>0.0004166666666666667</v>
      </c>
      <c r="I8" s="278">
        <f>H8</f>
        <v>0.0004166666666666667</v>
      </c>
      <c r="J8" s="278">
        <f>I8</f>
        <v>0.0004166666666666667</v>
      </c>
      <c r="K8" s="274"/>
      <c r="L8" s="278">
        <f>J8</f>
        <v>0.0004166666666666667</v>
      </c>
      <c r="M8" s="278">
        <f>L8</f>
        <v>0.0004166666666666667</v>
      </c>
      <c r="N8" s="278">
        <f>M8</f>
        <v>0.0004166666666666667</v>
      </c>
      <c r="O8" s="278">
        <f>N8</f>
        <v>0.0004166666666666667</v>
      </c>
      <c r="P8" s="278">
        <f>O8</f>
        <v>0.0004166666666666667</v>
      </c>
      <c r="Q8" s="278">
        <f>P8</f>
        <v>0.0004166666666666667</v>
      </c>
      <c r="R8" s="274"/>
      <c r="S8" s="274"/>
      <c r="T8" s="278">
        <f>Q8</f>
        <v>0.0004166666666666667</v>
      </c>
      <c r="U8" s="278">
        <f>T8</f>
        <v>0.0004166666666666667</v>
      </c>
      <c r="V8" s="278">
        <f>U8</f>
        <v>0.0004166666666666667</v>
      </c>
      <c r="W8" s="278">
        <f>V8</f>
        <v>0.0004166666666666667</v>
      </c>
      <c r="X8" s="278">
        <f>W8</f>
        <v>0.0004166666666666667</v>
      </c>
      <c r="Y8" s="278">
        <f>X8</f>
        <v>0.0004166666666666667</v>
      </c>
      <c r="Z8" s="274"/>
      <c r="AA8" s="274"/>
      <c r="AB8" s="279">
        <v>0.005</v>
      </c>
      <c r="AC8" s="277">
        <v>0.01</v>
      </c>
      <c r="AD8" s="277">
        <v>0.01</v>
      </c>
      <c r="AE8" s="277">
        <v>0.01</v>
      </c>
    </row>
    <row r="9" spans="1:32" ht="12.75">
      <c r="A9" s="220"/>
      <c r="B9" s="280"/>
      <c r="C9" s="274"/>
      <c r="D9" s="281">
        <v>87600000</v>
      </c>
      <c r="E9" s="281">
        <v>87600000</v>
      </c>
      <c r="F9" s="281">
        <v>87600000</v>
      </c>
      <c r="G9" s="281">
        <v>87600000</v>
      </c>
      <c r="H9" s="281">
        <v>87600000</v>
      </c>
      <c r="I9" s="281">
        <v>87600000</v>
      </c>
      <c r="J9" s="281">
        <v>87600000</v>
      </c>
      <c r="K9" s="281"/>
      <c r="L9" s="281">
        <v>87600000</v>
      </c>
      <c r="M9" s="281">
        <v>87600000</v>
      </c>
      <c r="N9" s="281">
        <v>87600000</v>
      </c>
      <c r="O9" s="281">
        <v>87600000</v>
      </c>
      <c r="P9" s="281">
        <v>87600000</v>
      </c>
      <c r="Q9" s="281">
        <v>87600000</v>
      </c>
      <c r="R9" s="281"/>
      <c r="S9" s="281"/>
      <c r="T9" s="281">
        <v>87600000</v>
      </c>
      <c r="U9" s="281">
        <v>87600000</v>
      </c>
      <c r="V9" s="281">
        <v>87600000</v>
      </c>
      <c r="W9" s="281">
        <v>87600000</v>
      </c>
      <c r="X9" s="281">
        <v>87600000</v>
      </c>
      <c r="Y9" s="281">
        <v>87600000</v>
      </c>
      <c r="Z9" s="281">
        <v>87600000</v>
      </c>
      <c r="AA9" s="281">
        <v>87600000</v>
      </c>
      <c r="AB9" s="281">
        <v>87600000</v>
      </c>
      <c r="AC9" s="281">
        <v>87600000</v>
      </c>
      <c r="AD9" s="281">
        <v>87600000</v>
      </c>
      <c r="AE9" s="281">
        <v>87600000</v>
      </c>
      <c r="AF9" s="165"/>
    </row>
    <row r="10" spans="1:32" ht="12.75">
      <c r="A10" s="282"/>
      <c r="B10" s="274" t="s">
        <v>256</v>
      </c>
      <c r="C10" s="274" t="s">
        <v>257</v>
      </c>
      <c r="D10" s="283">
        <f aca="true" t="shared" si="0" ref="D10:J10">D9*0.33</f>
        <v>28908000</v>
      </c>
      <c r="E10" s="283">
        <f t="shared" si="0"/>
        <v>28908000</v>
      </c>
      <c r="F10" s="283">
        <f t="shared" si="0"/>
        <v>28908000</v>
      </c>
      <c r="G10" s="283">
        <f t="shared" si="0"/>
        <v>28908000</v>
      </c>
      <c r="H10" s="283">
        <f t="shared" si="0"/>
        <v>28908000</v>
      </c>
      <c r="I10" s="283">
        <f t="shared" si="0"/>
        <v>28908000</v>
      </c>
      <c r="J10" s="283">
        <f t="shared" si="0"/>
        <v>28908000</v>
      </c>
      <c r="K10" s="283"/>
      <c r="L10" s="283">
        <f aca="true" t="shared" si="1" ref="L10:AA10">L9*0.33</f>
        <v>28908000</v>
      </c>
      <c r="M10" s="283">
        <f t="shared" si="1"/>
        <v>28908000</v>
      </c>
      <c r="N10" s="283">
        <f t="shared" si="1"/>
        <v>28908000</v>
      </c>
      <c r="O10" s="283">
        <f t="shared" si="1"/>
        <v>28908000</v>
      </c>
      <c r="P10" s="283">
        <f t="shared" si="1"/>
        <v>28908000</v>
      </c>
      <c r="Q10" s="283">
        <f t="shared" si="1"/>
        <v>28908000</v>
      </c>
      <c r="R10" s="283"/>
      <c r="S10" s="283"/>
      <c r="T10" s="283">
        <f t="shared" si="1"/>
        <v>28908000</v>
      </c>
      <c r="U10" s="283">
        <f t="shared" si="1"/>
        <v>28908000</v>
      </c>
      <c r="V10" s="283">
        <f t="shared" si="1"/>
        <v>28908000</v>
      </c>
      <c r="W10" s="283">
        <f t="shared" si="1"/>
        <v>28908000</v>
      </c>
      <c r="X10" s="283">
        <f t="shared" si="1"/>
        <v>28908000</v>
      </c>
      <c r="Y10" s="283">
        <f t="shared" si="1"/>
        <v>28908000</v>
      </c>
      <c r="Z10" s="283">
        <f t="shared" si="1"/>
        <v>28908000</v>
      </c>
      <c r="AA10" s="283">
        <f t="shared" si="1"/>
        <v>28908000</v>
      </c>
      <c r="AB10" s="283">
        <f>AB9*0.33</f>
        <v>28908000</v>
      </c>
      <c r="AC10" s="283">
        <f>AC9*0.33</f>
        <v>28908000</v>
      </c>
      <c r="AD10" s="283">
        <f>AD9*0.33</f>
        <v>28908000</v>
      </c>
      <c r="AE10" s="283">
        <f>AE9*0.33</f>
        <v>28908000</v>
      </c>
      <c r="AF10" s="165"/>
    </row>
    <row r="11" spans="1:32" ht="12.75">
      <c r="A11" s="220"/>
      <c r="B11" s="274"/>
      <c r="C11" s="274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165"/>
    </row>
    <row r="12" spans="1:31" ht="12.75">
      <c r="A12" s="227"/>
      <c r="B12" s="271"/>
      <c r="C12" s="284"/>
      <c r="D12" s="27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74"/>
      <c r="AC12" s="277"/>
      <c r="AD12" s="277"/>
      <c r="AE12" s="277"/>
    </row>
    <row r="13" spans="1:31" ht="12.75">
      <c r="A13" s="272" t="s">
        <v>235</v>
      </c>
      <c r="B13" s="271"/>
      <c r="C13" s="284"/>
      <c r="D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74"/>
      <c r="AC13" s="277"/>
      <c r="AD13" s="277"/>
      <c r="AE13" s="277"/>
    </row>
    <row r="14" spans="1:31" ht="12.75">
      <c r="A14" s="220"/>
      <c r="B14" s="271"/>
      <c r="C14" s="284"/>
      <c r="D14" s="285">
        <v>2000</v>
      </c>
      <c r="E14" s="285">
        <f aca="true" t="shared" si="2" ref="E14:J15">$D14/12</f>
        <v>166.66666666666666</v>
      </c>
      <c r="F14" s="285">
        <f t="shared" si="2"/>
        <v>166.66666666666666</v>
      </c>
      <c r="G14" s="285">
        <f t="shared" si="2"/>
        <v>166.66666666666666</v>
      </c>
      <c r="H14" s="285">
        <f t="shared" si="2"/>
        <v>166.66666666666666</v>
      </c>
      <c r="I14" s="285">
        <f t="shared" si="2"/>
        <v>166.66666666666666</v>
      </c>
      <c r="J14" s="285">
        <f t="shared" si="2"/>
        <v>166.66666666666666</v>
      </c>
      <c r="K14" s="219">
        <f>SUM(E14:J14)</f>
        <v>999.9999999999999</v>
      </c>
      <c r="L14" s="285">
        <f aca="true" t="shared" si="3" ref="L14:Q15">$D14/12</f>
        <v>166.66666666666666</v>
      </c>
      <c r="M14" s="285">
        <f t="shared" si="3"/>
        <v>166.66666666666666</v>
      </c>
      <c r="N14" s="285">
        <f t="shared" si="3"/>
        <v>166.66666666666666</v>
      </c>
      <c r="O14" s="285">
        <f t="shared" si="3"/>
        <v>166.66666666666666</v>
      </c>
      <c r="P14" s="285">
        <f t="shared" si="3"/>
        <v>166.66666666666666</v>
      </c>
      <c r="Q14" s="285">
        <f t="shared" si="3"/>
        <v>166.66666666666666</v>
      </c>
      <c r="R14" s="219">
        <f>SUM(L14:Q14)</f>
        <v>999.9999999999999</v>
      </c>
      <c r="S14" s="276">
        <f>R14+K14</f>
        <v>1999.9999999999998</v>
      </c>
      <c r="T14" s="285">
        <f aca="true" t="shared" si="4" ref="T14:Y15">$D14/12</f>
        <v>166.66666666666666</v>
      </c>
      <c r="U14" s="285">
        <f t="shared" si="4"/>
        <v>166.66666666666666</v>
      </c>
      <c r="V14" s="285">
        <f t="shared" si="4"/>
        <v>166.66666666666666</v>
      </c>
      <c r="W14" s="285">
        <f t="shared" si="4"/>
        <v>166.66666666666666</v>
      </c>
      <c r="X14" s="285">
        <f t="shared" si="4"/>
        <v>166.66666666666666</v>
      </c>
      <c r="Y14" s="285">
        <f t="shared" si="4"/>
        <v>166.66666666666666</v>
      </c>
      <c r="Z14" s="219">
        <f>SUM(T14:Y14)</f>
        <v>999.9999999999999</v>
      </c>
      <c r="AA14" s="276">
        <f>Z14+R14+K14</f>
        <v>2999.9999999999995</v>
      </c>
      <c r="AB14" s="285">
        <v>1000</v>
      </c>
      <c r="AC14" s="285">
        <v>2000</v>
      </c>
      <c r="AD14" s="285">
        <v>2000</v>
      </c>
      <c r="AE14" s="285">
        <v>2000</v>
      </c>
    </row>
    <row r="15" spans="1:31" ht="12.75">
      <c r="A15" s="220"/>
      <c r="B15" s="233"/>
      <c r="C15" s="286">
        <v>0.2</v>
      </c>
      <c r="D15" s="285">
        <v>400</v>
      </c>
      <c r="E15" s="285">
        <f t="shared" si="2"/>
        <v>33.333333333333336</v>
      </c>
      <c r="F15" s="285">
        <f t="shared" si="2"/>
        <v>33.333333333333336</v>
      </c>
      <c r="G15" s="285">
        <f t="shared" si="2"/>
        <v>33.333333333333336</v>
      </c>
      <c r="H15" s="285">
        <f t="shared" si="2"/>
        <v>33.333333333333336</v>
      </c>
      <c r="I15" s="285">
        <f t="shared" si="2"/>
        <v>33.333333333333336</v>
      </c>
      <c r="J15" s="285">
        <f t="shared" si="2"/>
        <v>33.333333333333336</v>
      </c>
      <c r="K15" s="219">
        <f>SUM(E15:J15)</f>
        <v>200.00000000000003</v>
      </c>
      <c r="L15" s="285">
        <f t="shared" si="3"/>
        <v>33.333333333333336</v>
      </c>
      <c r="M15" s="285">
        <f t="shared" si="3"/>
        <v>33.333333333333336</v>
      </c>
      <c r="N15" s="285">
        <f t="shared" si="3"/>
        <v>33.333333333333336</v>
      </c>
      <c r="O15" s="285">
        <f t="shared" si="3"/>
        <v>33.333333333333336</v>
      </c>
      <c r="P15" s="285">
        <f t="shared" si="3"/>
        <v>33.333333333333336</v>
      </c>
      <c r="Q15" s="285">
        <f t="shared" si="3"/>
        <v>33.333333333333336</v>
      </c>
      <c r="R15" s="219">
        <f>SUM(L15:Q15)</f>
        <v>200.00000000000003</v>
      </c>
      <c r="S15" s="276">
        <f>R15+K15</f>
        <v>400.00000000000006</v>
      </c>
      <c r="T15" s="285">
        <f t="shared" si="4"/>
        <v>33.333333333333336</v>
      </c>
      <c r="U15" s="285">
        <f t="shared" si="4"/>
        <v>33.333333333333336</v>
      </c>
      <c r="V15" s="285">
        <f t="shared" si="4"/>
        <v>33.333333333333336</v>
      </c>
      <c r="W15" s="285">
        <f t="shared" si="4"/>
        <v>33.333333333333336</v>
      </c>
      <c r="X15" s="285">
        <f t="shared" si="4"/>
        <v>33.333333333333336</v>
      </c>
      <c r="Y15" s="285">
        <f t="shared" si="4"/>
        <v>33.333333333333336</v>
      </c>
      <c r="Z15" s="219">
        <f>SUM(T15:Y15)</f>
        <v>200.00000000000003</v>
      </c>
      <c r="AA15" s="276">
        <f>Z15+R15+K15</f>
        <v>600.0000000000001</v>
      </c>
      <c r="AB15" s="285">
        <v>200</v>
      </c>
      <c r="AC15" s="285">
        <v>400</v>
      </c>
      <c r="AD15" s="285">
        <v>400</v>
      </c>
      <c r="AE15" s="285">
        <v>400</v>
      </c>
    </row>
    <row r="16" spans="1:32" ht="12.75">
      <c r="A16" s="220"/>
      <c r="B16" s="274" t="s">
        <v>258</v>
      </c>
      <c r="C16" s="286">
        <v>0.2</v>
      </c>
      <c r="D16" s="276">
        <f>$C16*D7</f>
        <v>24000000000</v>
      </c>
      <c r="E16" s="276">
        <f aca="true" t="shared" si="5" ref="E16:J16">$C16*E7</f>
        <v>2000000000</v>
      </c>
      <c r="F16" s="276">
        <f t="shared" si="5"/>
        <v>2000833333.3333337</v>
      </c>
      <c r="G16" s="276">
        <f t="shared" si="5"/>
        <v>2001667013.8888893</v>
      </c>
      <c r="H16" s="276">
        <f t="shared" si="5"/>
        <v>2002501041.8113432</v>
      </c>
      <c r="I16" s="276">
        <f t="shared" si="5"/>
        <v>2003335417.2454312</v>
      </c>
      <c r="J16" s="276">
        <f t="shared" si="5"/>
        <v>2004170140.3359501</v>
      </c>
      <c r="K16" s="219">
        <f>SUM(E16:J16)</f>
        <v>12012506946.614948</v>
      </c>
      <c r="L16" s="276">
        <f aca="true" t="shared" si="6" ref="L16:Q16">$C16*L7</f>
        <v>2005005211.227757</v>
      </c>
      <c r="M16" s="276">
        <f t="shared" si="6"/>
        <v>2005840630.0657685</v>
      </c>
      <c r="N16" s="276">
        <f t="shared" si="6"/>
        <v>2006676396.9949627</v>
      </c>
      <c r="O16" s="276">
        <f t="shared" si="6"/>
        <v>2007512512.1603775</v>
      </c>
      <c r="P16" s="276">
        <f t="shared" si="6"/>
        <v>2008348975.7071111</v>
      </c>
      <c r="Q16" s="276">
        <f t="shared" si="6"/>
        <v>2009185787.7803223</v>
      </c>
      <c r="R16" s="219">
        <f>SUM(L16:Q16)</f>
        <v>12042569513.9363</v>
      </c>
      <c r="S16" s="276">
        <f>R16+K16</f>
        <v>24055076460.551247</v>
      </c>
      <c r="T16" s="276">
        <f aca="true" t="shared" si="7" ref="T16:Y16">$C16*T7</f>
        <v>2010022948.525231</v>
      </c>
      <c r="U16" s="276">
        <f t="shared" si="7"/>
        <v>2010860458.0871167</v>
      </c>
      <c r="V16" s="276">
        <f t="shared" si="7"/>
        <v>2011698316.6113198</v>
      </c>
      <c r="W16" s="276">
        <f t="shared" si="7"/>
        <v>2012536524.2432413</v>
      </c>
      <c r="X16" s="276">
        <f t="shared" si="7"/>
        <v>2013375081.1283426</v>
      </c>
      <c r="Y16" s="276">
        <f t="shared" si="7"/>
        <v>2014213987.412146</v>
      </c>
      <c r="Z16" s="219">
        <f>SUM(T16:Y16)</f>
        <v>12072707316.007397</v>
      </c>
      <c r="AA16" s="276">
        <f>Z16+R16+K16</f>
        <v>36127783776.55864</v>
      </c>
      <c r="AB16" s="276">
        <f>C16*AB7</f>
        <v>12145710344.09524</v>
      </c>
      <c r="AC16" s="276">
        <f>AC7*C16</f>
        <v>24412877791.63143</v>
      </c>
      <c r="AD16" s="276">
        <f>AD7*C16</f>
        <v>24657006569.547745</v>
      </c>
      <c r="AE16" s="276">
        <f>AE7*C16</f>
        <v>24903576635.243225</v>
      </c>
      <c r="AF16" s="165"/>
    </row>
    <row r="17" spans="1:32" ht="12.75">
      <c r="A17" s="220"/>
      <c r="B17" s="274"/>
      <c r="C17" s="286">
        <v>0.03</v>
      </c>
      <c r="D17" s="287">
        <f aca="true" t="shared" si="8" ref="D17:J17">D15*$C17</f>
        <v>12</v>
      </c>
      <c r="E17" s="287">
        <f t="shared" si="8"/>
        <v>1</v>
      </c>
      <c r="F17" s="287">
        <f t="shared" si="8"/>
        <v>1</v>
      </c>
      <c r="G17" s="287">
        <f t="shared" si="8"/>
        <v>1</v>
      </c>
      <c r="H17" s="287">
        <f t="shared" si="8"/>
        <v>1</v>
      </c>
      <c r="I17" s="287">
        <f t="shared" si="8"/>
        <v>1</v>
      </c>
      <c r="J17" s="287">
        <f t="shared" si="8"/>
        <v>1</v>
      </c>
      <c r="K17" s="219">
        <f>SUM(E17:J17)</f>
        <v>6</v>
      </c>
      <c r="L17" s="287">
        <f aca="true" t="shared" si="9" ref="L17:Q17">L15*$C17</f>
        <v>1</v>
      </c>
      <c r="M17" s="287">
        <f t="shared" si="9"/>
        <v>1</v>
      </c>
      <c r="N17" s="287">
        <f t="shared" si="9"/>
        <v>1</v>
      </c>
      <c r="O17" s="287">
        <f t="shared" si="9"/>
        <v>1</v>
      </c>
      <c r="P17" s="287">
        <f t="shared" si="9"/>
        <v>1</v>
      </c>
      <c r="Q17" s="287">
        <f t="shared" si="9"/>
        <v>1</v>
      </c>
      <c r="R17" s="219">
        <f>SUM(L17:Q17)</f>
        <v>6</v>
      </c>
      <c r="S17" s="276">
        <f>R17+K17</f>
        <v>12</v>
      </c>
      <c r="T17" s="287">
        <f aca="true" t="shared" si="10" ref="T17:Y17">T15*$C17</f>
        <v>1</v>
      </c>
      <c r="U17" s="287">
        <f t="shared" si="10"/>
        <v>1</v>
      </c>
      <c r="V17" s="287">
        <f t="shared" si="10"/>
        <v>1</v>
      </c>
      <c r="W17" s="287">
        <f t="shared" si="10"/>
        <v>1</v>
      </c>
      <c r="X17" s="287">
        <f t="shared" si="10"/>
        <v>1</v>
      </c>
      <c r="Y17" s="287">
        <f t="shared" si="10"/>
        <v>1</v>
      </c>
      <c r="Z17" s="219">
        <f>SUM(T17:Y17)</f>
        <v>6</v>
      </c>
      <c r="AA17" s="276">
        <f>Z17+R17+K17</f>
        <v>18</v>
      </c>
      <c r="AB17" s="287">
        <f>AB15*C17</f>
        <v>6</v>
      </c>
      <c r="AC17" s="287">
        <f>C17*AC15</f>
        <v>12</v>
      </c>
      <c r="AD17" s="287">
        <f>AD15*C17</f>
        <v>12</v>
      </c>
      <c r="AE17" s="287">
        <f>AE15*C17</f>
        <v>12</v>
      </c>
      <c r="AF17" s="165"/>
    </row>
    <row r="18" spans="1:32" ht="13.5" customHeight="1">
      <c r="A18" s="220"/>
      <c r="B18" s="274"/>
      <c r="C18" s="274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165"/>
    </row>
    <row r="19" spans="1:32" ht="13.5" customHeight="1">
      <c r="A19" s="272" t="s">
        <v>289</v>
      </c>
      <c r="B19" s="274"/>
      <c r="C19" s="274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165"/>
    </row>
    <row r="20" spans="1:32" ht="13.5" customHeight="1">
      <c r="A20" s="220"/>
      <c r="B20" s="273" t="s">
        <v>286</v>
      </c>
      <c r="C20" s="274"/>
      <c r="D20" s="283">
        <v>200000</v>
      </c>
      <c r="E20" s="283">
        <v>200000</v>
      </c>
      <c r="F20" s="283">
        <v>200000</v>
      </c>
      <c r="G20" s="283">
        <v>200000</v>
      </c>
      <c r="H20" s="283">
        <v>200000</v>
      </c>
      <c r="I20" s="283">
        <v>200000</v>
      </c>
      <c r="J20" s="283">
        <v>200000</v>
      </c>
      <c r="K20" s="283"/>
      <c r="L20" s="283">
        <v>200000</v>
      </c>
      <c r="M20" s="283">
        <v>200000</v>
      </c>
      <c r="N20" s="283">
        <v>200000</v>
      </c>
      <c r="O20" s="283">
        <v>200000</v>
      </c>
      <c r="P20" s="283">
        <v>200000</v>
      </c>
      <c r="Q20" s="283">
        <v>200000</v>
      </c>
      <c r="R20" s="283"/>
      <c r="S20" s="283"/>
      <c r="T20" s="283">
        <v>200000</v>
      </c>
      <c r="U20" s="283">
        <v>200000</v>
      </c>
      <c r="V20" s="283">
        <v>200000</v>
      </c>
      <c r="W20" s="283">
        <v>200000</v>
      </c>
      <c r="X20" s="283">
        <v>200000</v>
      </c>
      <c r="Y20" s="283">
        <v>200000</v>
      </c>
      <c r="Z20" s="283">
        <f aca="true" t="shared" si="11" ref="Z20:AA22">Y20</f>
        <v>200000</v>
      </c>
      <c r="AA20" s="283">
        <f t="shared" si="11"/>
        <v>200000</v>
      </c>
      <c r="AB20" s="283">
        <v>200000</v>
      </c>
      <c r="AC20" s="283">
        <v>200000</v>
      </c>
      <c r="AD20" s="283">
        <v>200000</v>
      </c>
      <c r="AE20" s="283">
        <v>200000</v>
      </c>
      <c r="AF20" s="165"/>
    </row>
    <row r="21" spans="1:32" ht="13.5" customHeight="1">
      <c r="A21" s="220"/>
      <c r="B21" s="274"/>
      <c r="C21" s="286"/>
      <c r="D21" s="281">
        <v>10000</v>
      </c>
      <c r="E21" s="281">
        <v>10000</v>
      </c>
      <c r="F21" s="281">
        <v>10000</v>
      </c>
      <c r="G21" s="281">
        <v>10000</v>
      </c>
      <c r="H21" s="281">
        <v>10000</v>
      </c>
      <c r="I21" s="281">
        <v>10000</v>
      </c>
      <c r="J21" s="281">
        <v>10000</v>
      </c>
      <c r="K21" s="281"/>
      <c r="L21" s="281">
        <v>10000</v>
      </c>
      <c r="M21" s="281">
        <v>10000</v>
      </c>
      <c r="N21" s="281">
        <v>10000</v>
      </c>
      <c r="O21" s="281">
        <v>10000</v>
      </c>
      <c r="P21" s="281">
        <v>10000</v>
      </c>
      <c r="Q21" s="281">
        <v>10000</v>
      </c>
      <c r="R21" s="281"/>
      <c r="S21" s="281"/>
      <c r="T21" s="281">
        <v>10000</v>
      </c>
      <c r="U21" s="281">
        <v>10000</v>
      </c>
      <c r="V21" s="281">
        <v>10000</v>
      </c>
      <c r="W21" s="281">
        <v>10000</v>
      </c>
      <c r="X21" s="281">
        <v>10000</v>
      </c>
      <c r="Y21" s="281">
        <v>10000</v>
      </c>
      <c r="Z21" s="281">
        <f t="shared" si="11"/>
        <v>10000</v>
      </c>
      <c r="AA21" s="281">
        <f t="shared" si="11"/>
        <v>10000</v>
      </c>
      <c r="AB21" s="281">
        <v>11000</v>
      </c>
      <c r="AC21" s="281">
        <v>12000</v>
      </c>
      <c r="AD21" s="281">
        <v>13000</v>
      </c>
      <c r="AE21" s="281">
        <v>14000</v>
      </c>
      <c r="AF21" s="165"/>
    </row>
    <row r="22" spans="1:32" ht="13.5" customHeight="1">
      <c r="A22" s="220"/>
      <c r="B22" s="274"/>
      <c r="C22" s="286"/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/>
      <c r="L22" s="281">
        <v>5</v>
      </c>
      <c r="M22" s="281">
        <f>L22+M23</f>
        <v>11</v>
      </c>
      <c r="N22" s="281">
        <f>M22+N23</f>
        <v>18</v>
      </c>
      <c r="O22" s="281">
        <f>N22+O23</f>
        <v>26</v>
      </c>
      <c r="P22" s="281">
        <f>O22+P23</f>
        <v>35</v>
      </c>
      <c r="Q22" s="281">
        <f>P22+Q23</f>
        <v>45</v>
      </c>
      <c r="R22" s="281"/>
      <c r="S22" s="281"/>
      <c r="T22" s="281">
        <f>Q22+T23</f>
        <v>56</v>
      </c>
      <c r="U22" s="281">
        <f>T22+U23</f>
        <v>68</v>
      </c>
      <c r="V22" s="281">
        <f>U22+V23</f>
        <v>81</v>
      </c>
      <c r="W22" s="281">
        <f>V22+W23</f>
        <v>95</v>
      </c>
      <c r="X22" s="281">
        <f>W22+X23</f>
        <v>110</v>
      </c>
      <c r="Y22" s="281">
        <f>X22+Y23</f>
        <v>126</v>
      </c>
      <c r="Z22" s="281">
        <f t="shared" si="11"/>
        <v>126</v>
      </c>
      <c r="AA22" s="283">
        <f t="shared" si="11"/>
        <v>126</v>
      </c>
      <c r="AB22" s="281">
        <f>Y22+AB23</f>
        <v>276</v>
      </c>
      <c r="AC22" s="281">
        <f>AB22+AC23</f>
        <v>776</v>
      </c>
      <c r="AD22" s="281">
        <f>AC22+AD23</f>
        <v>1526</v>
      </c>
      <c r="AE22" s="281">
        <f>AD22+AE23</f>
        <v>2526</v>
      </c>
      <c r="AF22" s="165"/>
    </row>
    <row r="23" spans="1:32" ht="13.5" customHeight="1">
      <c r="A23" s="220"/>
      <c r="B23" s="274"/>
      <c r="C23" s="286"/>
      <c r="D23" s="281">
        <v>0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/>
      <c r="L23" s="281">
        <v>5</v>
      </c>
      <c r="M23" s="281">
        <v>6</v>
      </c>
      <c r="N23" s="281">
        <v>7</v>
      </c>
      <c r="O23" s="281">
        <v>8</v>
      </c>
      <c r="P23" s="281">
        <v>9</v>
      </c>
      <c r="Q23" s="281">
        <v>10</v>
      </c>
      <c r="R23" s="281"/>
      <c r="S23" s="281"/>
      <c r="T23" s="281">
        <v>11</v>
      </c>
      <c r="U23" s="281">
        <v>12</v>
      </c>
      <c r="V23" s="281">
        <v>13</v>
      </c>
      <c r="W23" s="281">
        <v>14</v>
      </c>
      <c r="X23" s="281">
        <v>15</v>
      </c>
      <c r="Y23" s="281">
        <v>16</v>
      </c>
      <c r="Z23" s="281"/>
      <c r="AA23" s="281"/>
      <c r="AB23" s="281">
        <v>150</v>
      </c>
      <c r="AC23" s="281">
        <v>500</v>
      </c>
      <c r="AD23" s="281">
        <v>750</v>
      </c>
      <c r="AE23" s="281">
        <v>1000</v>
      </c>
      <c r="AF23" s="165"/>
    </row>
    <row r="24" spans="1:32" ht="13.5" customHeight="1">
      <c r="A24" s="220"/>
      <c r="B24" s="274"/>
      <c r="C24" s="286"/>
      <c r="D24" s="288">
        <f aca="true" t="shared" si="12" ref="D24:J24">D22/D21</f>
        <v>0</v>
      </c>
      <c r="E24" s="288">
        <f t="shared" si="12"/>
        <v>0</v>
      </c>
      <c r="F24" s="288">
        <f t="shared" si="12"/>
        <v>0</v>
      </c>
      <c r="G24" s="288">
        <f t="shared" si="12"/>
        <v>0</v>
      </c>
      <c r="H24" s="288">
        <f t="shared" si="12"/>
        <v>0</v>
      </c>
      <c r="I24" s="288">
        <f t="shared" si="12"/>
        <v>0</v>
      </c>
      <c r="J24" s="288">
        <f t="shared" si="12"/>
        <v>0</v>
      </c>
      <c r="K24" s="288"/>
      <c r="L24" s="288">
        <f aca="true" t="shared" si="13" ref="L24:AA24">L22/L21</f>
        <v>0.0005</v>
      </c>
      <c r="M24" s="288">
        <f t="shared" si="13"/>
        <v>0.0011</v>
      </c>
      <c r="N24" s="288">
        <f t="shared" si="13"/>
        <v>0.0018</v>
      </c>
      <c r="O24" s="288">
        <f t="shared" si="13"/>
        <v>0.0026</v>
      </c>
      <c r="P24" s="288">
        <f t="shared" si="13"/>
        <v>0.0035</v>
      </c>
      <c r="Q24" s="288">
        <f t="shared" si="13"/>
        <v>0.0045</v>
      </c>
      <c r="R24" s="288"/>
      <c r="S24" s="288"/>
      <c r="T24" s="288">
        <f t="shared" si="13"/>
        <v>0.0056</v>
      </c>
      <c r="U24" s="288">
        <f t="shared" si="13"/>
        <v>0.0068</v>
      </c>
      <c r="V24" s="288">
        <f t="shared" si="13"/>
        <v>0.0081</v>
      </c>
      <c r="W24" s="288">
        <f t="shared" si="13"/>
        <v>0.0095</v>
      </c>
      <c r="X24" s="288">
        <f t="shared" si="13"/>
        <v>0.011</v>
      </c>
      <c r="Y24" s="288">
        <f t="shared" si="13"/>
        <v>0.0126</v>
      </c>
      <c r="Z24" s="288">
        <f t="shared" si="13"/>
        <v>0.0126</v>
      </c>
      <c r="AA24" s="288">
        <f t="shared" si="13"/>
        <v>0.0126</v>
      </c>
      <c r="AB24" s="288">
        <f>AB22/AB21</f>
        <v>0.02509090909090909</v>
      </c>
      <c r="AC24" s="288">
        <f>AC22/AC21</f>
        <v>0.06466666666666666</v>
      </c>
      <c r="AD24" s="288">
        <f>AD22/AD21</f>
        <v>0.11738461538461538</v>
      </c>
      <c r="AE24" s="288">
        <f>AE22/AE21</f>
        <v>0.18042857142857144</v>
      </c>
      <c r="AF24" s="165"/>
    </row>
    <row r="25" spans="1:32" ht="13.5" customHeight="1">
      <c r="A25" s="220"/>
      <c r="B25" s="274"/>
      <c r="C25" s="286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9"/>
      <c r="AC25" s="289"/>
      <c r="AD25" s="289"/>
      <c r="AE25" s="289"/>
      <c r="AF25" s="165"/>
    </row>
    <row r="26" spans="1:32" ht="13.5" customHeight="1">
      <c r="A26" s="272" t="s">
        <v>288</v>
      </c>
      <c r="B26" s="274"/>
      <c r="C26" s="286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9"/>
      <c r="AC26" s="289"/>
      <c r="AD26" s="289"/>
      <c r="AE26" s="289"/>
      <c r="AF26" s="165"/>
    </row>
    <row r="27" spans="1:32" ht="13.5" customHeight="1">
      <c r="A27" s="220"/>
      <c r="B27" s="274"/>
      <c r="C27" s="274"/>
      <c r="D27" s="288">
        <f aca="true" t="shared" si="14" ref="D27:J27">D28/D10</f>
        <v>0</v>
      </c>
      <c r="E27" s="288">
        <f t="shared" si="14"/>
        <v>1.72962501729625E-05</v>
      </c>
      <c r="F27" s="288">
        <f t="shared" si="14"/>
        <v>5.1888750518887505E-05</v>
      </c>
      <c r="G27" s="288">
        <f t="shared" si="14"/>
        <v>9.512937595129375E-05</v>
      </c>
      <c r="H27" s="288">
        <f t="shared" si="14"/>
        <v>0.00014701812647018126</v>
      </c>
      <c r="I27" s="288">
        <f t="shared" si="14"/>
        <v>0.00020755500207555002</v>
      </c>
      <c r="J27" s="288">
        <f t="shared" si="14"/>
        <v>0.0002767400027674</v>
      </c>
      <c r="K27" s="288"/>
      <c r="L27" s="288">
        <f aca="true" t="shared" si="15" ref="L27:Q27">L28/L10</f>
        <v>0.00036322125363221256</v>
      </c>
      <c r="M27" s="288">
        <f t="shared" si="15"/>
        <v>0.00046699875466998757</v>
      </c>
      <c r="N27" s="288">
        <f t="shared" si="15"/>
        <v>0.000588072505880725</v>
      </c>
      <c r="O27" s="288">
        <f t="shared" si="15"/>
        <v>0.0007264425072644251</v>
      </c>
      <c r="P27" s="288">
        <f t="shared" si="15"/>
        <v>0.0008821087588210876</v>
      </c>
      <c r="Q27" s="288">
        <f t="shared" si="15"/>
        <v>0.0010550712605507126</v>
      </c>
      <c r="R27" s="288"/>
      <c r="S27" s="288"/>
      <c r="T27" s="288">
        <f aca="true" t="shared" si="16" ref="T27:AA27">T28/T10</f>
        <v>0.0012453300124533001</v>
      </c>
      <c r="U27" s="288">
        <f t="shared" si="16"/>
        <v>0.0014528850145288502</v>
      </c>
      <c r="V27" s="288">
        <f t="shared" si="16"/>
        <v>0.0016777362667773628</v>
      </c>
      <c r="W27" s="288">
        <f t="shared" si="16"/>
        <v>0.0019371800193718</v>
      </c>
      <c r="X27" s="288">
        <f t="shared" si="16"/>
        <v>0.0022312162723121627</v>
      </c>
      <c r="Y27" s="288">
        <f t="shared" si="16"/>
        <v>0.002577141275771413</v>
      </c>
      <c r="Z27" s="288">
        <f t="shared" si="16"/>
        <v>0.002577141275771413</v>
      </c>
      <c r="AA27" s="288">
        <f t="shared" si="16"/>
        <v>0.002577141275771413</v>
      </c>
      <c r="AB27" s="288">
        <f>AB28/AB10</f>
        <v>0.004652691296526913</v>
      </c>
      <c r="AC27" s="288">
        <f>AC28/AC10</f>
        <v>0.008803791338037914</v>
      </c>
      <c r="AD27" s="288">
        <f>AD28/AD10</f>
        <v>0.017105991421059914</v>
      </c>
      <c r="AE27" s="288">
        <f>AE28/AE10</f>
        <v>0.030597066555970664</v>
      </c>
      <c r="AF27" s="165"/>
    </row>
    <row r="28" spans="1:32" ht="12.75">
      <c r="A28" s="220"/>
      <c r="B28" s="274" t="s">
        <v>103</v>
      </c>
      <c r="C28" s="274"/>
      <c r="D28" s="290">
        <f>D31</f>
        <v>0</v>
      </c>
      <c r="E28" s="290">
        <f aca="true" t="shared" si="17" ref="E28:J28">D28+E31</f>
        <v>500</v>
      </c>
      <c r="F28" s="290">
        <f t="shared" si="17"/>
        <v>1500</v>
      </c>
      <c r="G28" s="290">
        <f t="shared" si="17"/>
        <v>2750</v>
      </c>
      <c r="H28" s="290">
        <f t="shared" si="17"/>
        <v>4250</v>
      </c>
      <c r="I28" s="290">
        <f t="shared" si="17"/>
        <v>6000</v>
      </c>
      <c r="J28" s="290">
        <f t="shared" si="17"/>
        <v>8000</v>
      </c>
      <c r="K28" s="291">
        <f>J28</f>
        <v>8000</v>
      </c>
      <c r="L28" s="290">
        <f>J28+L31</f>
        <v>10500</v>
      </c>
      <c r="M28" s="290">
        <f>L28+M31</f>
        <v>13500</v>
      </c>
      <c r="N28" s="290">
        <f>M28+N31</f>
        <v>17000</v>
      </c>
      <c r="O28" s="290">
        <f>N28+O31</f>
        <v>21000</v>
      </c>
      <c r="P28" s="290">
        <f>O28+P31</f>
        <v>25500</v>
      </c>
      <c r="Q28" s="290">
        <f>P28+Q31</f>
        <v>30500</v>
      </c>
      <c r="R28" s="291">
        <f>Q28</f>
        <v>30500</v>
      </c>
      <c r="S28" s="292">
        <f>R28</f>
        <v>30500</v>
      </c>
      <c r="T28" s="290">
        <f>Q28+T31</f>
        <v>36000</v>
      </c>
      <c r="U28" s="290">
        <f>T28+U31</f>
        <v>42000</v>
      </c>
      <c r="V28" s="290">
        <f>U28+V31</f>
        <v>48500</v>
      </c>
      <c r="W28" s="290">
        <f>V28+W31</f>
        <v>56000</v>
      </c>
      <c r="X28" s="290">
        <f>W28+X31</f>
        <v>64500</v>
      </c>
      <c r="Y28" s="290">
        <f>X28+Y31</f>
        <v>74500</v>
      </c>
      <c r="Z28" s="281">
        <f>Y28</f>
        <v>74500</v>
      </c>
      <c r="AA28" s="283">
        <f>Z28</f>
        <v>74500</v>
      </c>
      <c r="AB28" s="293">
        <f>AA28+AB30</f>
        <v>134500</v>
      </c>
      <c r="AC28" s="293">
        <f>AB28+AC30</f>
        <v>254500</v>
      </c>
      <c r="AD28" s="293">
        <f>AC28+AD30</f>
        <v>494500</v>
      </c>
      <c r="AE28" s="293">
        <f>AD28+AE30</f>
        <v>884500</v>
      </c>
      <c r="AF28" s="165"/>
    </row>
    <row r="29" spans="1:32" ht="12.75">
      <c r="A29" s="220"/>
      <c r="B29" s="274"/>
      <c r="C29" s="274">
        <v>0.6</v>
      </c>
      <c r="D29" s="290"/>
      <c r="E29" s="290"/>
      <c r="F29" s="290"/>
      <c r="G29" s="290"/>
      <c r="H29" s="290"/>
      <c r="I29" s="290"/>
      <c r="J29" s="290"/>
      <c r="K29" s="291"/>
      <c r="L29" s="290"/>
      <c r="M29" s="290"/>
      <c r="N29" s="290"/>
      <c r="O29" s="290"/>
      <c r="P29" s="290"/>
      <c r="Q29" s="290"/>
      <c r="R29" s="291"/>
      <c r="S29" s="292"/>
      <c r="T29" s="290"/>
      <c r="U29" s="290"/>
      <c r="V29" s="290"/>
      <c r="W29" s="290"/>
      <c r="X29" s="290"/>
      <c r="Y29" s="290"/>
      <c r="Z29" s="281"/>
      <c r="AA29" s="283"/>
      <c r="AB29" s="293">
        <f>C29</f>
        <v>0.6</v>
      </c>
      <c r="AC29" s="293">
        <f>AB29</f>
        <v>0.6</v>
      </c>
      <c r="AD29" s="293">
        <f>AC29</f>
        <v>0.6</v>
      </c>
      <c r="AE29" s="293">
        <f>AD29</f>
        <v>0.6</v>
      </c>
      <c r="AF29" s="165"/>
    </row>
    <row r="30" spans="1:32" ht="12.75">
      <c r="A30" s="220"/>
      <c r="B30" s="274"/>
      <c r="C30" s="274"/>
      <c r="D30" s="290"/>
      <c r="E30" s="290"/>
      <c r="F30" s="290"/>
      <c r="G30" s="290"/>
      <c r="H30" s="290"/>
      <c r="I30" s="290"/>
      <c r="J30" s="290"/>
      <c r="K30" s="291"/>
      <c r="L30" s="290"/>
      <c r="M30" s="290"/>
      <c r="N30" s="290"/>
      <c r="O30" s="290"/>
      <c r="P30" s="290"/>
      <c r="Q30" s="290"/>
      <c r="R30" s="291"/>
      <c r="S30" s="292"/>
      <c r="T30" s="290"/>
      <c r="U30" s="290"/>
      <c r="V30" s="290"/>
      <c r="W30" s="290"/>
      <c r="X30" s="290"/>
      <c r="Y30" s="290"/>
      <c r="Z30" s="281"/>
      <c r="AA30" s="283"/>
      <c r="AB30" s="293">
        <f>AB31*AB29</f>
        <v>60000</v>
      </c>
      <c r="AC30" s="293">
        <f>AC31*AC29</f>
        <v>120000</v>
      </c>
      <c r="AD30" s="293">
        <f>AD31*AD29</f>
        <v>240000</v>
      </c>
      <c r="AE30" s="293">
        <f>AE31*AE29</f>
        <v>390000</v>
      </c>
      <c r="AF30" s="165"/>
    </row>
    <row r="31" spans="1:32" ht="12.75">
      <c r="A31" s="220"/>
      <c r="B31" s="294"/>
      <c r="C31" s="294"/>
      <c r="D31" s="218"/>
      <c r="E31" s="218">
        <v>500</v>
      </c>
      <c r="F31" s="218">
        <v>1000</v>
      </c>
      <c r="G31" s="218">
        <v>1250</v>
      </c>
      <c r="H31" s="218">
        <v>1500</v>
      </c>
      <c r="I31" s="218">
        <v>1750</v>
      </c>
      <c r="J31" s="218">
        <v>2000</v>
      </c>
      <c r="K31" s="218"/>
      <c r="L31" s="218">
        <v>2500</v>
      </c>
      <c r="M31" s="218">
        <v>3000</v>
      </c>
      <c r="N31" s="218">
        <v>3500</v>
      </c>
      <c r="O31" s="218">
        <v>4000</v>
      </c>
      <c r="P31" s="218">
        <v>4500</v>
      </c>
      <c r="Q31" s="218">
        <v>5000</v>
      </c>
      <c r="R31" s="218"/>
      <c r="S31" s="218"/>
      <c r="T31" s="218">
        <v>5500</v>
      </c>
      <c r="U31" s="218">
        <v>6000</v>
      </c>
      <c r="V31" s="218">
        <v>6500</v>
      </c>
      <c r="W31" s="218">
        <v>7500</v>
      </c>
      <c r="X31" s="218">
        <v>8500</v>
      </c>
      <c r="Y31" s="218">
        <v>10000</v>
      </c>
      <c r="Z31" s="218"/>
      <c r="AA31" s="218"/>
      <c r="AB31" s="295">
        <v>100000</v>
      </c>
      <c r="AC31" s="295">
        <v>200000</v>
      </c>
      <c r="AD31" s="295">
        <v>400000</v>
      </c>
      <c r="AE31" s="295">
        <v>650000</v>
      </c>
      <c r="AF31" s="165"/>
    </row>
    <row r="32" spans="1:32" ht="12.75">
      <c r="A32" s="220"/>
      <c r="B32" s="294"/>
      <c r="C32" s="294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24"/>
      <c r="AC32" s="224"/>
      <c r="AD32" s="224"/>
      <c r="AE32" s="224"/>
      <c r="AF32" s="165"/>
    </row>
    <row r="33" spans="1:31" s="14" customFormat="1" ht="12.75">
      <c r="A33" s="272" t="s">
        <v>167</v>
      </c>
      <c r="B33" s="274" t="s">
        <v>291</v>
      </c>
      <c r="C33" s="296">
        <v>12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</row>
    <row r="34" spans="1:31" s="14" customFormat="1" ht="12.75">
      <c r="A34" s="227" t="s">
        <v>234</v>
      </c>
      <c r="B34" s="274" t="s">
        <v>292</v>
      </c>
      <c r="C34" s="297">
        <f>C33/12</f>
        <v>1</v>
      </c>
      <c r="D34" s="298"/>
      <c r="E34" s="298"/>
      <c r="F34" s="298"/>
      <c r="G34" s="298"/>
      <c r="H34" s="298"/>
      <c r="I34" s="298"/>
      <c r="J34" s="298">
        <f>C34*J28</f>
        <v>8000</v>
      </c>
      <c r="K34" s="298">
        <f>SUM(E34:J34)</f>
        <v>8000</v>
      </c>
      <c r="L34" s="298">
        <f aca="true" t="shared" si="18" ref="L34:Q34">$C34*L28</f>
        <v>10500</v>
      </c>
      <c r="M34" s="298">
        <f t="shared" si="18"/>
        <v>13500</v>
      </c>
      <c r="N34" s="298">
        <f t="shared" si="18"/>
        <v>17000</v>
      </c>
      <c r="O34" s="298">
        <f t="shared" si="18"/>
        <v>21000</v>
      </c>
      <c r="P34" s="298">
        <f t="shared" si="18"/>
        <v>25500</v>
      </c>
      <c r="Q34" s="298">
        <f t="shared" si="18"/>
        <v>30500</v>
      </c>
      <c r="R34" s="298">
        <f>SUM(L34:Q34)</f>
        <v>118000</v>
      </c>
      <c r="S34" s="299">
        <f>R34+K34</f>
        <v>126000</v>
      </c>
      <c r="T34" s="298">
        <f aca="true" t="shared" si="19" ref="T34:Y34">$C34*T28</f>
        <v>36000</v>
      </c>
      <c r="U34" s="298">
        <f t="shared" si="19"/>
        <v>42000</v>
      </c>
      <c r="V34" s="298">
        <f t="shared" si="19"/>
        <v>48500</v>
      </c>
      <c r="W34" s="298">
        <f t="shared" si="19"/>
        <v>56000</v>
      </c>
      <c r="X34" s="298">
        <f t="shared" si="19"/>
        <v>64500</v>
      </c>
      <c r="Y34" s="298">
        <f t="shared" si="19"/>
        <v>74500</v>
      </c>
      <c r="Z34" s="298">
        <f>SUM(T34:Y34)</f>
        <v>321500</v>
      </c>
      <c r="AA34" s="300">
        <f>Z34+R34+K34</f>
        <v>447500</v>
      </c>
      <c r="AB34" s="298">
        <f>$C34*6*AB28</f>
        <v>807000</v>
      </c>
      <c r="AC34" s="298">
        <f>$C$33*AC28</f>
        <v>3054000</v>
      </c>
      <c r="AD34" s="298">
        <f>$C$33*AD28</f>
        <v>5934000</v>
      </c>
      <c r="AE34" s="298">
        <f>$C$33*AE28</f>
        <v>10614000</v>
      </c>
    </row>
    <row r="35" spans="1:31" s="14" customFormat="1" ht="12.75">
      <c r="A35" s="227" t="s">
        <v>255</v>
      </c>
      <c r="B35" s="274" t="s">
        <v>287</v>
      </c>
      <c r="C35" s="296">
        <v>40</v>
      </c>
      <c r="D35" s="298"/>
      <c r="E35" s="298">
        <f aca="true" t="shared" si="20" ref="E35:J35">$C$35*E22</f>
        <v>0</v>
      </c>
      <c r="F35" s="298">
        <f t="shared" si="20"/>
        <v>0</v>
      </c>
      <c r="G35" s="298">
        <f t="shared" si="20"/>
        <v>0</v>
      </c>
      <c r="H35" s="298">
        <f t="shared" si="20"/>
        <v>0</v>
      </c>
      <c r="I35" s="298">
        <f t="shared" si="20"/>
        <v>0</v>
      </c>
      <c r="J35" s="298">
        <f t="shared" si="20"/>
        <v>0</v>
      </c>
      <c r="K35" s="298">
        <f>SUM(E35:J35)</f>
        <v>0</v>
      </c>
      <c r="L35" s="298">
        <f aca="true" t="shared" si="21" ref="L35:Q35">$C$35*L22</f>
        <v>200</v>
      </c>
      <c r="M35" s="298">
        <f t="shared" si="21"/>
        <v>440</v>
      </c>
      <c r="N35" s="298">
        <f t="shared" si="21"/>
        <v>720</v>
      </c>
      <c r="O35" s="298">
        <f t="shared" si="21"/>
        <v>1040</v>
      </c>
      <c r="P35" s="298">
        <f t="shared" si="21"/>
        <v>1400</v>
      </c>
      <c r="Q35" s="298">
        <f t="shared" si="21"/>
        <v>1800</v>
      </c>
      <c r="R35" s="298">
        <f>SUM(L35:Q35)</f>
        <v>5600</v>
      </c>
      <c r="S35" s="299">
        <f>R35+K35</f>
        <v>5600</v>
      </c>
      <c r="T35" s="298">
        <f aca="true" t="shared" si="22" ref="T35:Y35">$C$35*T22</f>
        <v>2240</v>
      </c>
      <c r="U35" s="298">
        <f t="shared" si="22"/>
        <v>2720</v>
      </c>
      <c r="V35" s="298">
        <f t="shared" si="22"/>
        <v>3240</v>
      </c>
      <c r="W35" s="298">
        <f t="shared" si="22"/>
        <v>3800</v>
      </c>
      <c r="X35" s="298">
        <f t="shared" si="22"/>
        <v>4400</v>
      </c>
      <c r="Y35" s="298">
        <f t="shared" si="22"/>
        <v>5040</v>
      </c>
      <c r="Z35" s="298">
        <f>SUM(T35:Y35)</f>
        <v>21440</v>
      </c>
      <c r="AA35" s="300">
        <f>Z35+R35+K35</f>
        <v>27040</v>
      </c>
      <c r="AB35" s="298">
        <f>$C$35*AB22*12</f>
        <v>132480</v>
      </c>
      <c r="AC35" s="298">
        <f>$C$35*AC22*12</f>
        <v>372480</v>
      </c>
      <c r="AD35" s="298">
        <f>$C$35*AD22*12</f>
        <v>732480</v>
      </c>
      <c r="AE35" s="298">
        <f>$C$35*AE22*12</f>
        <v>1212480</v>
      </c>
    </row>
    <row r="36" spans="1:31" s="14" customFormat="1" ht="12.75">
      <c r="A36" s="227" t="s">
        <v>235</v>
      </c>
      <c r="B36" s="274" t="s">
        <v>254</v>
      </c>
      <c r="C36" s="301">
        <v>0.075</v>
      </c>
      <c r="D36" s="298"/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f>SUM(E36:J36)</f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f>SUM(L36:Q36)</f>
        <v>0</v>
      </c>
      <c r="S36" s="299">
        <f>R36+K36</f>
        <v>0</v>
      </c>
      <c r="T36" s="298">
        <f aca="true" t="shared" si="23" ref="T36:Y36">T17*$C36*T28</f>
        <v>2700</v>
      </c>
      <c r="U36" s="298">
        <f t="shared" si="23"/>
        <v>3150</v>
      </c>
      <c r="V36" s="298">
        <f t="shared" si="23"/>
        <v>3637.5</v>
      </c>
      <c r="W36" s="298">
        <f t="shared" si="23"/>
        <v>4200</v>
      </c>
      <c r="X36" s="298">
        <f t="shared" si="23"/>
        <v>4837.5</v>
      </c>
      <c r="Y36" s="298">
        <f t="shared" si="23"/>
        <v>5587.5</v>
      </c>
      <c r="Z36" s="298">
        <f>SUM(T36:Y36)</f>
        <v>24112.5</v>
      </c>
      <c r="AA36" s="300">
        <f>Z36+R36+K36</f>
        <v>24112.5</v>
      </c>
      <c r="AB36" s="298">
        <f>AB28*AB17*$C$36</f>
        <v>60525</v>
      </c>
      <c r="AC36" s="298">
        <f>AC28*AC17*$C$36</f>
        <v>229050</v>
      </c>
      <c r="AD36" s="298">
        <f>AD28*AD17*$C$36</f>
        <v>445050</v>
      </c>
      <c r="AE36" s="298">
        <f>AE28*AE17*$C$36</f>
        <v>796050</v>
      </c>
    </row>
    <row r="37" spans="1:32" ht="12.75">
      <c r="A37" s="220"/>
      <c r="B37" s="274"/>
      <c r="C37" s="274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219"/>
      <c r="AB37" s="302"/>
      <c r="AC37" s="302"/>
      <c r="AD37" s="302"/>
      <c r="AE37" s="302"/>
      <c r="AF37" s="165"/>
    </row>
    <row r="38" spans="1:32" ht="12.75">
      <c r="A38" s="220"/>
      <c r="B38" s="274"/>
      <c r="C38" s="274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219"/>
      <c r="AB38" s="302"/>
      <c r="AC38" s="302"/>
      <c r="AD38" s="302"/>
      <c r="AE38" s="302"/>
      <c r="AF38" s="165"/>
    </row>
    <row r="39" spans="1:31" s="14" customFormat="1" ht="12.75">
      <c r="A39" s="227" t="s">
        <v>112</v>
      </c>
      <c r="B39" s="233"/>
      <c r="C39" s="233"/>
      <c r="D39" s="298"/>
      <c r="E39" s="298">
        <f aca="true" t="shared" si="24" ref="E39:K39">SUM(E34:E36)</f>
        <v>0</v>
      </c>
      <c r="F39" s="298">
        <f t="shared" si="24"/>
        <v>0</v>
      </c>
      <c r="G39" s="298">
        <f t="shared" si="24"/>
        <v>0</v>
      </c>
      <c r="H39" s="298">
        <f t="shared" si="24"/>
        <v>0</v>
      </c>
      <c r="I39" s="298">
        <f t="shared" si="24"/>
        <v>0</v>
      </c>
      <c r="J39" s="298">
        <f t="shared" si="24"/>
        <v>8000</v>
      </c>
      <c r="K39" s="298">
        <f t="shared" si="24"/>
        <v>8000</v>
      </c>
      <c r="L39" s="298">
        <f aca="true" t="shared" si="25" ref="L39:X39">SUM(L34:L36)</f>
        <v>10700</v>
      </c>
      <c r="M39" s="298">
        <f t="shared" si="25"/>
        <v>13940</v>
      </c>
      <c r="N39" s="298">
        <f t="shared" si="25"/>
        <v>17720</v>
      </c>
      <c r="O39" s="298">
        <f t="shared" si="25"/>
        <v>22040</v>
      </c>
      <c r="P39" s="298">
        <f t="shared" si="25"/>
        <v>26900</v>
      </c>
      <c r="Q39" s="298">
        <f t="shared" si="25"/>
        <v>32300</v>
      </c>
      <c r="R39" s="298">
        <f>SUM(R34:R36)</f>
        <v>123600</v>
      </c>
      <c r="S39" s="299">
        <f>R39+K39</f>
        <v>131600</v>
      </c>
      <c r="T39" s="298">
        <f t="shared" si="25"/>
        <v>40940</v>
      </c>
      <c r="U39" s="298">
        <f t="shared" si="25"/>
        <v>47870</v>
      </c>
      <c r="V39" s="298">
        <f t="shared" si="25"/>
        <v>55377.5</v>
      </c>
      <c r="W39" s="298">
        <f t="shared" si="25"/>
        <v>64000</v>
      </c>
      <c r="X39" s="298">
        <f t="shared" si="25"/>
        <v>73737.5</v>
      </c>
      <c r="Y39" s="298">
        <f aca="true" t="shared" si="26" ref="Y39:AE39">SUM(Y34:Y36)</f>
        <v>85127.5</v>
      </c>
      <c r="Z39" s="298">
        <f t="shared" si="26"/>
        <v>367052.5</v>
      </c>
      <c r="AA39" s="298">
        <f t="shared" si="26"/>
        <v>498652.5</v>
      </c>
      <c r="AB39" s="298">
        <f t="shared" si="26"/>
        <v>1000005</v>
      </c>
      <c r="AC39" s="298">
        <f t="shared" si="26"/>
        <v>3655530</v>
      </c>
      <c r="AD39" s="298">
        <f t="shared" si="26"/>
        <v>7111530</v>
      </c>
      <c r="AE39" s="298">
        <f t="shared" si="26"/>
        <v>12622530</v>
      </c>
    </row>
    <row r="40" spans="1:31" s="208" customFormat="1" ht="12.75">
      <c r="A40" s="227" t="s">
        <v>298</v>
      </c>
      <c r="B40" s="271"/>
      <c r="C40" s="271"/>
      <c r="D40" s="303"/>
      <c r="E40" s="303"/>
      <c r="F40" s="303"/>
      <c r="G40" s="303"/>
      <c r="H40" s="303"/>
      <c r="I40" s="303"/>
      <c r="J40" s="303">
        <f>J39/J28</f>
        <v>1</v>
      </c>
      <c r="K40" s="303">
        <f>K39/K28</f>
        <v>1</v>
      </c>
      <c r="L40" s="303">
        <f aca="true" t="shared" si="27" ref="L40:Y40">L39/L28</f>
        <v>1.019047619047619</v>
      </c>
      <c r="M40" s="303">
        <f t="shared" si="27"/>
        <v>1.0325925925925925</v>
      </c>
      <c r="N40" s="303">
        <f t="shared" si="27"/>
        <v>1.0423529411764705</v>
      </c>
      <c r="O40" s="303">
        <f t="shared" si="27"/>
        <v>1.0495238095238095</v>
      </c>
      <c r="P40" s="303">
        <f t="shared" si="27"/>
        <v>1.0549019607843138</v>
      </c>
      <c r="Q40" s="303">
        <f t="shared" si="27"/>
        <v>1.0590163934426229</v>
      </c>
      <c r="R40" s="303">
        <f>R39/R28</f>
        <v>4.052459016393443</v>
      </c>
      <c r="S40" s="303">
        <f t="shared" si="27"/>
        <v>4.314754098360655</v>
      </c>
      <c r="T40" s="303">
        <f t="shared" si="27"/>
        <v>1.1372222222222221</v>
      </c>
      <c r="U40" s="303">
        <f t="shared" si="27"/>
        <v>1.1397619047619048</v>
      </c>
      <c r="V40" s="303">
        <f t="shared" si="27"/>
        <v>1.14180412371134</v>
      </c>
      <c r="W40" s="303">
        <f t="shared" si="27"/>
        <v>1.1428571428571428</v>
      </c>
      <c r="X40" s="303">
        <f t="shared" si="27"/>
        <v>1.1432170542635658</v>
      </c>
      <c r="Y40" s="303">
        <f t="shared" si="27"/>
        <v>1.1426510067114093</v>
      </c>
      <c r="Z40" s="303">
        <f aca="true" t="shared" si="28" ref="Z40:AE40">Z39/Z28</f>
        <v>4.926879194630873</v>
      </c>
      <c r="AA40" s="304">
        <f t="shared" si="28"/>
        <v>6.693322147651006</v>
      </c>
      <c r="AB40" s="303">
        <f t="shared" si="28"/>
        <v>7.434981412639405</v>
      </c>
      <c r="AC40" s="303">
        <f t="shared" si="28"/>
        <v>14.363575638506877</v>
      </c>
      <c r="AD40" s="303">
        <f t="shared" si="28"/>
        <v>14.381253791708797</v>
      </c>
      <c r="AE40" s="303">
        <f t="shared" si="28"/>
        <v>14.27080836630865</v>
      </c>
    </row>
    <row r="41" spans="1:31" ht="12.75">
      <c r="A41" s="305" t="s">
        <v>299</v>
      </c>
      <c r="B41" s="271"/>
      <c r="C41" s="27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>
        <f>AB39/'Salaries '!DH59</f>
        <v>222223.33333333334</v>
      </c>
      <c r="AC41" s="221">
        <f>AC39/'Salaries '!DI59</f>
        <v>243702</v>
      </c>
      <c r="AD41" s="221">
        <f>AD39/'Salaries '!DJ59</f>
        <v>355576.5</v>
      </c>
      <c r="AE41" s="221">
        <f>AE39/'Salaries '!DK59</f>
        <v>467501.1111111111</v>
      </c>
    </row>
    <row r="42" ht="12.75">
      <c r="AB42" s="92"/>
    </row>
    <row r="43" spans="2:28" ht="12.75"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28"/>
    </row>
    <row r="44" spans="2:28" ht="15">
      <c r="B44" s="160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2"/>
    </row>
    <row r="45" spans="2:28" ht="12.75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3"/>
    </row>
    <row r="46" spans="2:28" ht="12.75">
      <c r="B46" s="159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3"/>
    </row>
    <row r="48" spans="2:28" ht="12.75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3"/>
    </row>
    <row r="49" spans="2:28" ht="15">
      <c r="B49" s="160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3"/>
    </row>
    <row r="50" ht="12.75">
      <c r="AB50" s="15"/>
    </row>
    <row r="51" spans="2:28" ht="12.75">
      <c r="B51" s="159"/>
      <c r="AB51" s="3"/>
    </row>
    <row r="53" ht="12.75">
      <c r="B53" s="160"/>
    </row>
  </sheetData>
  <sheetProtection/>
  <printOptions/>
  <pageMargins left="0.25" right="0.25" top="0.5" bottom="0.5" header="0.5" footer="0.5"/>
  <pageSetup fitToWidth="4" fitToHeight="1"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4"/>
  <sheetViews>
    <sheetView workbookViewId="0" topLeftCell="A1">
      <selection activeCell="A4" sqref="A4"/>
    </sheetView>
  </sheetViews>
  <sheetFormatPr defaultColWidth="8.8515625" defaultRowHeight="12.75"/>
  <cols>
    <col min="1" max="1" width="26.421875" style="0" bestFit="1" customWidth="1"/>
    <col min="2" max="2" width="12.28125" style="0" customWidth="1"/>
    <col min="3" max="3" width="10.28125" style="0" bestFit="1" customWidth="1"/>
    <col min="4" max="4" width="11.57421875" style="197" bestFit="1" customWidth="1"/>
    <col min="5" max="5" width="9.421875" style="0" customWidth="1"/>
    <col min="6" max="6" width="15.140625" style="0" bestFit="1" customWidth="1"/>
    <col min="7" max="7" width="2.8515625" style="0" customWidth="1"/>
    <col min="8" max="8" width="9.8515625" style="197" bestFit="1" customWidth="1"/>
    <col min="9" max="9" width="9.421875" style="0" customWidth="1"/>
    <col min="10" max="10" width="15.140625" style="0" bestFit="1" customWidth="1"/>
    <col min="11" max="11" width="2.8515625" style="0" customWidth="1"/>
    <col min="12" max="12" width="9.8515625" style="197" bestFit="1" customWidth="1"/>
    <col min="13" max="13" width="9.421875" style="0" customWidth="1"/>
    <col min="14" max="14" width="15.140625" style="0" bestFit="1" customWidth="1"/>
    <col min="15" max="15" width="2.8515625" style="0" customWidth="1"/>
    <col min="16" max="16" width="9.8515625" style="197" bestFit="1" customWidth="1"/>
    <col min="17" max="17" width="9.421875" style="0" customWidth="1"/>
    <col min="18" max="18" width="15.140625" style="0" bestFit="1" customWidth="1"/>
    <col min="19" max="19" width="2.8515625" style="0" customWidth="1"/>
    <col min="20" max="20" width="9.8515625" style="197" bestFit="1" customWidth="1"/>
    <col min="21" max="21" width="9.421875" style="0" customWidth="1"/>
    <col min="22" max="22" width="15.140625" style="0" bestFit="1" customWidth="1"/>
    <col min="23" max="23" width="2.8515625" style="0" customWidth="1"/>
    <col min="24" max="24" width="9.8515625" style="197" bestFit="1" customWidth="1"/>
    <col min="25" max="25" width="9.421875" style="0" customWidth="1"/>
    <col min="26" max="26" width="15.00390625" style="0" bestFit="1" customWidth="1"/>
    <col min="27" max="27" width="2.8515625" style="0" customWidth="1"/>
    <col min="28" max="28" width="9.7109375" style="197" bestFit="1" customWidth="1"/>
    <col min="29" max="29" width="9.421875" style="0" customWidth="1"/>
    <col min="30" max="30" width="15.00390625" style="0" bestFit="1" customWidth="1"/>
    <col min="31" max="31" width="2.8515625" style="0" customWidth="1"/>
    <col min="32" max="32" width="9.7109375" style="197" bestFit="1" customWidth="1"/>
    <col min="33" max="33" width="9.421875" style="0" customWidth="1"/>
    <col min="34" max="34" width="15.00390625" style="0" bestFit="1" customWidth="1"/>
    <col min="35" max="35" width="2.8515625" style="0" customWidth="1"/>
    <col min="36" max="36" width="9.7109375" style="197" bestFit="1" customWidth="1"/>
    <col min="37" max="37" width="9.421875" style="0" customWidth="1"/>
    <col min="38" max="38" width="15.00390625" style="0" bestFit="1" customWidth="1"/>
    <col min="39" max="39" width="2.8515625" style="0" customWidth="1"/>
    <col min="40" max="40" width="9.7109375" style="197" bestFit="1" customWidth="1"/>
    <col min="41" max="41" width="9.421875" style="0" customWidth="1"/>
    <col min="42" max="42" width="15.00390625" style="0" bestFit="1" customWidth="1"/>
    <col min="43" max="43" width="2.8515625" style="0" customWidth="1"/>
    <col min="44" max="44" width="9.7109375" style="197" bestFit="1" customWidth="1"/>
    <col min="45" max="45" width="9.421875" style="0" customWidth="1"/>
    <col min="46" max="46" width="15.00390625" style="0" bestFit="1" customWidth="1"/>
    <col min="47" max="47" width="2.8515625" style="0" customWidth="1"/>
    <col min="48" max="48" width="9.7109375" style="197" bestFit="1" customWidth="1"/>
    <col min="49" max="49" width="9.421875" style="0" customWidth="1"/>
    <col min="50" max="50" width="15.00390625" style="0" bestFit="1" customWidth="1"/>
    <col min="51" max="51" width="2.8515625" style="0" customWidth="1"/>
    <col min="52" max="52" width="9.7109375" style="197" bestFit="1" customWidth="1"/>
    <col min="53" max="53" width="9.421875" style="0" customWidth="1"/>
    <col min="54" max="54" width="15.00390625" style="0" bestFit="1" customWidth="1"/>
    <col min="55" max="55" width="2.8515625" style="0" customWidth="1"/>
    <col min="56" max="56" width="9.7109375" style="197" bestFit="1" customWidth="1"/>
    <col min="57" max="57" width="9.421875" style="0" customWidth="1"/>
    <col min="58" max="58" width="15.00390625" style="0" bestFit="1" customWidth="1"/>
    <col min="59" max="59" width="2.8515625" style="0" customWidth="1"/>
    <col min="60" max="60" width="9.7109375" style="197" bestFit="1" customWidth="1"/>
    <col min="61" max="61" width="9.421875" style="0" customWidth="1"/>
    <col min="62" max="62" width="15.00390625" style="0" bestFit="1" customWidth="1"/>
    <col min="63" max="63" width="2.8515625" style="0" customWidth="1"/>
    <col min="64" max="64" width="9.7109375" style="197" bestFit="1" customWidth="1"/>
    <col min="65" max="65" width="9.421875" style="0" customWidth="1"/>
    <col min="66" max="66" width="15.00390625" style="0" bestFit="1" customWidth="1"/>
    <col min="67" max="67" width="2.8515625" style="0" customWidth="1"/>
    <col min="68" max="68" width="9.7109375" style="197" bestFit="1" customWidth="1"/>
    <col min="69" max="69" width="9.421875" style="0" customWidth="1"/>
    <col min="70" max="70" width="15.00390625" style="0" bestFit="1" customWidth="1"/>
    <col min="71" max="71" width="2.8515625" style="0" customWidth="1"/>
    <col min="72" max="72" width="9.7109375" style="197" bestFit="1" customWidth="1"/>
    <col min="73" max="73" width="9.421875" style="0" customWidth="1"/>
    <col min="74" max="74" width="15.00390625" style="0" bestFit="1" customWidth="1"/>
    <col min="75" max="75" width="2.8515625" style="0" customWidth="1"/>
    <col min="76" max="76" width="9.7109375" style="197" bestFit="1" customWidth="1"/>
    <col min="77" max="77" width="10.140625" style="208" bestFit="1" customWidth="1"/>
    <col min="78" max="78" width="15.00390625" style="0" bestFit="1" customWidth="1"/>
    <col min="79" max="79" width="2.8515625" style="0" customWidth="1"/>
    <col min="80" max="80" width="9.7109375" style="197" bestFit="1" customWidth="1"/>
    <col min="81" max="81" width="10.28125" style="0" bestFit="1" customWidth="1"/>
    <col min="82" max="82" width="11.28125" style="0" bestFit="1" customWidth="1"/>
    <col min="83" max="83" width="2.8515625" style="0" customWidth="1"/>
    <col min="84" max="84" width="9.7109375" style="197" bestFit="1" customWidth="1"/>
    <col min="85" max="85" width="11.140625" style="0" bestFit="1" customWidth="1"/>
    <col min="86" max="86" width="11.28125" style="0" bestFit="1" customWidth="1"/>
    <col min="87" max="87" width="2.8515625" style="0" customWidth="1"/>
    <col min="88" max="88" width="9.7109375" style="197" customWidth="1"/>
    <col min="89" max="89" width="11.140625" style="0" bestFit="1" customWidth="1"/>
    <col min="90" max="90" width="12.28125" style="0" bestFit="1" customWidth="1"/>
  </cols>
  <sheetData>
    <row r="1" ht="12.75">
      <c r="A1" s="14" t="s">
        <v>320</v>
      </c>
    </row>
    <row r="2" spans="1:88" s="250" customFormat="1" ht="12.75">
      <c r="A2" s="251" t="s">
        <v>168</v>
      </c>
      <c r="D2" s="252"/>
      <c r="H2" s="252"/>
      <c r="L2" s="252"/>
      <c r="P2" s="252"/>
      <c r="T2" s="252"/>
      <c r="X2" s="252"/>
      <c r="AB2" s="252"/>
      <c r="AF2" s="252"/>
      <c r="AJ2" s="252"/>
      <c r="AN2" s="252"/>
      <c r="AR2" s="252"/>
      <c r="AV2" s="252"/>
      <c r="AZ2" s="252"/>
      <c r="BD2" s="252"/>
      <c r="BH2" s="252"/>
      <c r="BL2" s="252"/>
      <c r="BP2" s="252"/>
      <c r="BT2" s="252"/>
      <c r="BX2" s="252"/>
      <c r="CB2" s="252"/>
      <c r="CF2" s="252"/>
      <c r="CJ2" s="252"/>
    </row>
    <row r="3" ht="12.75">
      <c r="A3" s="14"/>
    </row>
    <row r="4" ht="12.75">
      <c r="CF4" s="269" t="s">
        <v>196</v>
      </c>
    </row>
    <row r="5" spans="1:90" ht="12.75">
      <c r="A5" s="157" t="s">
        <v>222</v>
      </c>
      <c r="B5" s="169">
        <v>0.25</v>
      </c>
      <c r="CF5" s="270">
        <v>0.05</v>
      </c>
      <c r="CG5" s="90"/>
      <c r="CH5" s="90"/>
      <c r="CI5" s="90"/>
      <c r="CJ5" s="270">
        <v>0.05</v>
      </c>
      <c r="CK5" s="90"/>
      <c r="CL5" s="90"/>
    </row>
    <row r="6" spans="2:90" ht="25.5" customHeight="1">
      <c r="B6" s="141" t="s">
        <v>146</v>
      </c>
      <c r="C6" s="141" t="s">
        <v>193</v>
      </c>
      <c r="D6" s="253" t="s">
        <v>260</v>
      </c>
      <c r="H6" s="253" t="s">
        <v>261</v>
      </c>
      <c r="L6" s="253" t="s">
        <v>262</v>
      </c>
      <c r="P6" s="253" t="s">
        <v>263</v>
      </c>
      <c r="T6" s="253" t="s">
        <v>264</v>
      </c>
      <c r="X6" s="253" t="s">
        <v>271</v>
      </c>
      <c r="AB6" s="253" t="s">
        <v>265</v>
      </c>
      <c r="AF6" s="253" t="s">
        <v>266</v>
      </c>
      <c r="AJ6" s="253" t="s">
        <v>267</v>
      </c>
      <c r="AN6" s="253" t="s">
        <v>268</v>
      </c>
      <c r="AR6" s="253" t="s">
        <v>269</v>
      </c>
      <c r="AV6" s="253" t="s">
        <v>270</v>
      </c>
      <c r="AZ6" s="253" t="s">
        <v>272</v>
      </c>
      <c r="BD6" s="253" t="s">
        <v>273</v>
      </c>
      <c r="BH6" s="253" t="s">
        <v>274</v>
      </c>
      <c r="BL6" s="253" t="s">
        <v>275</v>
      </c>
      <c r="BP6" s="253" t="s">
        <v>276</v>
      </c>
      <c r="BT6" s="253" t="s">
        <v>277</v>
      </c>
      <c r="BX6" s="253" t="s">
        <v>293</v>
      </c>
      <c r="CB6" s="214" t="s">
        <v>147</v>
      </c>
      <c r="CF6" s="214" t="s">
        <v>148</v>
      </c>
      <c r="CG6" s="92"/>
      <c r="CH6" s="92"/>
      <c r="CI6" s="92"/>
      <c r="CJ6" s="214" t="s">
        <v>149</v>
      </c>
      <c r="CK6" s="92"/>
      <c r="CL6" s="92"/>
    </row>
    <row r="7" spans="4:90" ht="12.75">
      <c r="D7" s="254" t="s">
        <v>192</v>
      </c>
      <c r="E7" s="92" t="s">
        <v>198</v>
      </c>
      <c r="F7" s="92" t="s">
        <v>199</v>
      </c>
      <c r="G7" s="92"/>
      <c r="H7" s="254" t="s">
        <v>192</v>
      </c>
      <c r="I7" s="92" t="s">
        <v>198</v>
      </c>
      <c r="J7" s="92" t="s">
        <v>199</v>
      </c>
      <c r="K7" s="92"/>
      <c r="L7" s="254" t="s">
        <v>192</v>
      </c>
      <c r="M7" s="92" t="s">
        <v>198</v>
      </c>
      <c r="N7" s="92" t="s">
        <v>199</v>
      </c>
      <c r="O7" s="92"/>
      <c r="P7" s="254" t="s">
        <v>192</v>
      </c>
      <c r="Q7" s="92" t="s">
        <v>198</v>
      </c>
      <c r="R7" s="92" t="s">
        <v>199</v>
      </c>
      <c r="S7" s="92"/>
      <c r="T7" s="254" t="s">
        <v>192</v>
      </c>
      <c r="U7" s="92" t="s">
        <v>198</v>
      </c>
      <c r="V7" s="92" t="s">
        <v>199</v>
      </c>
      <c r="W7" s="92"/>
      <c r="X7" s="254" t="s">
        <v>192</v>
      </c>
      <c r="Y7" s="92" t="s">
        <v>198</v>
      </c>
      <c r="Z7" s="92" t="s">
        <v>199</v>
      </c>
      <c r="AA7" s="92"/>
      <c r="AB7" s="254" t="s">
        <v>192</v>
      </c>
      <c r="AC7" s="92" t="s">
        <v>198</v>
      </c>
      <c r="AD7" s="92" t="s">
        <v>199</v>
      </c>
      <c r="AE7" s="92"/>
      <c r="AF7" s="254" t="s">
        <v>192</v>
      </c>
      <c r="AG7" s="92" t="s">
        <v>198</v>
      </c>
      <c r="AH7" s="92" t="s">
        <v>199</v>
      </c>
      <c r="AI7" s="92"/>
      <c r="AJ7" s="254" t="s">
        <v>192</v>
      </c>
      <c r="AK7" s="92" t="s">
        <v>198</v>
      </c>
      <c r="AL7" s="92" t="s">
        <v>199</v>
      </c>
      <c r="AM7" s="92"/>
      <c r="AN7" s="254" t="s">
        <v>192</v>
      </c>
      <c r="AO7" s="92" t="s">
        <v>198</v>
      </c>
      <c r="AP7" s="92" t="s">
        <v>199</v>
      </c>
      <c r="AQ7" s="92"/>
      <c r="AR7" s="254" t="s">
        <v>192</v>
      </c>
      <c r="AS7" s="92" t="s">
        <v>198</v>
      </c>
      <c r="AT7" s="92" t="s">
        <v>199</v>
      </c>
      <c r="AU7" s="92"/>
      <c r="AV7" s="254" t="s">
        <v>192</v>
      </c>
      <c r="AW7" s="92" t="s">
        <v>198</v>
      </c>
      <c r="AX7" s="92" t="s">
        <v>199</v>
      </c>
      <c r="AY7" s="92"/>
      <c r="AZ7" s="254" t="s">
        <v>192</v>
      </c>
      <c r="BA7" s="92" t="s">
        <v>198</v>
      </c>
      <c r="BB7" s="92" t="s">
        <v>199</v>
      </c>
      <c r="BC7" s="92"/>
      <c r="BD7" s="254" t="s">
        <v>192</v>
      </c>
      <c r="BE7" s="92" t="s">
        <v>198</v>
      </c>
      <c r="BF7" s="92" t="s">
        <v>199</v>
      </c>
      <c r="BG7" s="92"/>
      <c r="BH7" s="254" t="s">
        <v>192</v>
      </c>
      <c r="BI7" s="92" t="s">
        <v>198</v>
      </c>
      <c r="BJ7" s="92" t="s">
        <v>199</v>
      </c>
      <c r="BK7" s="92"/>
      <c r="BL7" s="254" t="s">
        <v>192</v>
      </c>
      <c r="BM7" s="92" t="s">
        <v>198</v>
      </c>
      <c r="BN7" s="92" t="s">
        <v>199</v>
      </c>
      <c r="BO7" s="92"/>
      <c r="BP7" s="254" t="s">
        <v>192</v>
      </c>
      <c r="BQ7" s="92" t="s">
        <v>198</v>
      </c>
      <c r="BR7" s="92" t="s">
        <v>199</v>
      </c>
      <c r="BS7" s="92"/>
      <c r="BT7" s="254" t="s">
        <v>192</v>
      </c>
      <c r="BU7" s="92" t="s">
        <v>198</v>
      </c>
      <c r="BV7" s="92" t="s">
        <v>199</v>
      </c>
      <c r="BW7" s="92"/>
      <c r="BX7" s="254" t="s">
        <v>192</v>
      </c>
      <c r="BY7" s="207" t="s">
        <v>198</v>
      </c>
      <c r="BZ7" s="92" t="s">
        <v>199</v>
      </c>
      <c r="CA7" s="92"/>
      <c r="CB7" s="254" t="s">
        <v>192</v>
      </c>
      <c r="CC7" s="92" t="s">
        <v>198</v>
      </c>
      <c r="CD7" s="92" t="s">
        <v>199</v>
      </c>
      <c r="CE7" s="92"/>
      <c r="CF7" s="254" t="s">
        <v>192</v>
      </c>
      <c r="CG7" s="92" t="s">
        <v>198</v>
      </c>
      <c r="CH7" s="92" t="s">
        <v>199</v>
      </c>
      <c r="CI7" s="92"/>
      <c r="CJ7" s="254" t="s">
        <v>192</v>
      </c>
      <c r="CK7" s="92" t="s">
        <v>198</v>
      </c>
      <c r="CL7" s="92" t="s">
        <v>199</v>
      </c>
    </row>
    <row r="8" spans="1:90" ht="12.75">
      <c r="A8" s="14" t="s">
        <v>223</v>
      </c>
      <c r="D8" s="254"/>
      <c r="E8" s="92"/>
      <c r="F8" s="92"/>
      <c r="G8" s="92"/>
      <c r="H8" s="254"/>
      <c r="I8" s="92"/>
      <c r="J8" s="92"/>
      <c r="K8" s="92"/>
      <c r="L8" s="254"/>
      <c r="M8" s="92"/>
      <c r="N8" s="92"/>
      <c r="O8" s="92"/>
      <c r="P8" s="254"/>
      <c r="Q8" s="92"/>
      <c r="R8" s="92"/>
      <c r="S8" s="92"/>
      <c r="T8" s="254"/>
      <c r="U8" s="92"/>
      <c r="V8" s="92"/>
      <c r="W8" s="92"/>
      <c r="X8" s="254"/>
      <c r="Y8" s="92"/>
      <c r="Z8" s="92"/>
      <c r="AA8" s="92"/>
      <c r="AB8" s="254"/>
      <c r="AC8" s="92"/>
      <c r="AD8" s="92"/>
      <c r="AE8" s="92"/>
      <c r="AF8" s="254"/>
      <c r="AG8" s="92"/>
      <c r="AH8" s="92"/>
      <c r="AI8" s="92"/>
      <c r="AJ8" s="254"/>
      <c r="AK8" s="92"/>
      <c r="AL8" s="92"/>
      <c r="AM8" s="92"/>
      <c r="AN8" s="254"/>
      <c r="AO8" s="92"/>
      <c r="AP8" s="92"/>
      <c r="AQ8" s="92"/>
      <c r="AR8" s="254"/>
      <c r="AS8" s="92"/>
      <c r="AT8" s="92"/>
      <c r="AU8" s="92"/>
      <c r="AV8" s="254"/>
      <c r="AW8" s="92"/>
      <c r="AX8" s="92"/>
      <c r="AY8" s="92"/>
      <c r="AZ8" s="254"/>
      <c r="BA8" s="92"/>
      <c r="BB8" s="92"/>
      <c r="BC8" s="92"/>
      <c r="BD8" s="254"/>
      <c r="BE8" s="92"/>
      <c r="BF8" s="92"/>
      <c r="BG8" s="92"/>
      <c r="BH8" s="254"/>
      <c r="BI8" s="92"/>
      <c r="BJ8" s="92"/>
      <c r="BK8" s="92"/>
      <c r="BL8" s="254"/>
      <c r="BM8" s="92"/>
      <c r="BN8" s="92"/>
      <c r="BO8" s="92"/>
      <c r="BP8" s="254"/>
      <c r="BQ8" s="92"/>
      <c r="BR8" s="92"/>
      <c r="BS8" s="92"/>
      <c r="BT8" s="254"/>
      <c r="BU8" s="92"/>
      <c r="BV8" s="92"/>
      <c r="BW8" s="92"/>
      <c r="BX8" s="254"/>
      <c r="BY8" s="207"/>
      <c r="BZ8" s="92"/>
      <c r="CA8" s="92"/>
      <c r="CB8" s="254"/>
      <c r="CC8" s="92"/>
      <c r="CD8" s="92"/>
      <c r="CE8" s="92"/>
      <c r="CF8" s="254"/>
      <c r="CG8" s="92"/>
      <c r="CH8" s="92"/>
      <c r="CI8" s="92"/>
      <c r="CJ8" s="254"/>
      <c r="CK8" s="92"/>
      <c r="CL8" s="92"/>
    </row>
    <row r="9" spans="1:90" ht="12.75">
      <c r="A9" s="165" t="s">
        <v>238</v>
      </c>
      <c r="B9" s="168">
        <v>80000</v>
      </c>
      <c r="C9" s="167">
        <v>0.5</v>
      </c>
      <c r="D9" s="255">
        <v>0.01</v>
      </c>
      <c r="E9" s="28">
        <f>($B9*D9)*(1+$B$5)</f>
        <v>1000</v>
      </c>
      <c r="F9" s="28">
        <v>0</v>
      </c>
      <c r="G9" s="3"/>
      <c r="H9" s="255">
        <v>0.01</v>
      </c>
      <c r="I9" s="28">
        <f>($B9*H9)*(1+$B$5)</f>
        <v>1000</v>
      </c>
      <c r="J9" s="28">
        <v>0</v>
      </c>
      <c r="K9" s="3"/>
      <c r="L9" s="255">
        <v>0.01</v>
      </c>
      <c r="M9" s="28">
        <f>($B9*L9)*(1+$B$5)</f>
        <v>1000</v>
      </c>
      <c r="N9" s="28">
        <v>0</v>
      </c>
      <c r="O9" s="3"/>
      <c r="P9" s="255">
        <v>0.01</v>
      </c>
      <c r="Q9" s="28">
        <f>($B9*P9)*(1+$B$5)</f>
        <v>1000</v>
      </c>
      <c r="R9" s="28">
        <v>0</v>
      </c>
      <c r="S9" s="3"/>
      <c r="T9" s="255">
        <v>0.01</v>
      </c>
      <c r="U9" s="28">
        <f>($B9*T9)*(1+$B$5)</f>
        <v>1000</v>
      </c>
      <c r="V9" s="28">
        <v>0</v>
      </c>
      <c r="W9" s="3"/>
      <c r="X9" s="255">
        <v>0.01</v>
      </c>
      <c r="Y9" s="28">
        <f>($B9*X9)*(1+$B$5)</f>
        <v>1000</v>
      </c>
      <c r="Z9" s="28">
        <v>0</v>
      </c>
      <c r="AA9" s="3"/>
      <c r="AB9" s="255">
        <v>0.03</v>
      </c>
      <c r="AC9" s="28">
        <f>($B9*AB9)*(1+$B$5)</f>
        <v>3000</v>
      </c>
      <c r="AD9" s="28">
        <v>0</v>
      </c>
      <c r="AE9" s="3"/>
      <c r="AF9" s="255">
        <v>0.03</v>
      </c>
      <c r="AG9" s="28">
        <f>($B9*AF9)*(1+$B$5)</f>
        <v>3000</v>
      </c>
      <c r="AH9" s="28">
        <v>0</v>
      </c>
      <c r="AI9" s="3"/>
      <c r="AJ9" s="255">
        <v>0.03</v>
      </c>
      <c r="AK9" s="28">
        <f>($B9*AJ9)*(1+$B$5)</f>
        <v>3000</v>
      </c>
      <c r="AL9" s="28">
        <v>0</v>
      </c>
      <c r="AM9" s="3"/>
      <c r="AN9" s="255">
        <v>0.05</v>
      </c>
      <c r="AO9" s="28">
        <f>($B9*AN9)*(1+$B$5)</f>
        <v>5000</v>
      </c>
      <c r="AP9" s="28">
        <v>0</v>
      </c>
      <c r="AQ9" s="3"/>
      <c r="AR9" s="255">
        <v>0.05</v>
      </c>
      <c r="AS9" s="28">
        <f>($B9*AR9)*(1+$B$5)</f>
        <v>5000</v>
      </c>
      <c r="AT9" s="28">
        <v>0</v>
      </c>
      <c r="AU9" s="3"/>
      <c r="AV9" s="255">
        <v>0.05</v>
      </c>
      <c r="AW9" s="28">
        <f>($B9*AV9)*(1+$B$5)</f>
        <v>5000</v>
      </c>
      <c r="AX9" s="28">
        <v>0</v>
      </c>
      <c r="AY9" s="3"/>
      <c r="AZ9" s="255">
        <v>0.08</v>
      </c>
      <c r="BA9" s="28">
        <f>($B9*AZ9)*(1+$B$5)</f>
        <v>8000</v>
      </c>
      <c r="BB9" s="28">
        <f>$C9*BA9*(1+$B$5)</f>
        <v>5000</v>
      </c>
      <c r="BC9" s="3"/>
      <c r="BD9" s="255">
        <v>0.08</v>
      </c>
      <c r="BE9" s="28">
        <f>($B9*BD9)*(1+$B$5)</f>
        <v>8000</v>
      </c>
      <c r="BF9" s="28">
        <f>$C9*BE9*(1+$B$5)</f>
        <v>5000</v>
      </c>
      <c r="BG9" s="3"/>
      <c r="BH9" s="255">
        <v>0.08</v>
      </c>
      <c r="BI9" s="28">
        <f>($B9*BH9)*(1+$B$5)</f>
        <v>8000</v>
      </c>
      <c r="BJ9" s="28">
        <f>$C9*BI9*(1+$B$5)</f>
        <v>5000</v>
      </c>
      <c r="BK9" s="3"/>
      <c r="BL9" s="255">
        <v>0.08</v>
      </c>
      <c r="BM9" s="28">
        <f>($B9*BL9)*(1+$B$5)</f>
        <v>8000</v>
      </c>
      <c r="BN9" s="28">
        <f>$C9*BM9*(1+$B$5)</f>
        <v>5000</v>
      </c>
      <c r="BO9" s="3"/>
      <c r="BP9" s="255">
        <v>0.08</v>
      </c>
      <c r="BQ9" s="28">
        <f>($B9*BP9)*(1+$B$5)</f>
        <v>8000</v>
      </c>
      <c r="BR9" s="28">
        <f>$C9*BQ9*(1+$B$5)</f>
        <v>5000</v>
      </c>
      <c r="BS9" s="3"/>
      <c r="BT9" s="255">
        <v>0.08</v>
      </c>
      <c r="BU9" s="28">
        <f>($B9*BT9)*(1+$B$5)</f>
        <v>8000</v>
      </c>
      <c r="BV9" s="28">
        <f>$C9*BU9*(1+$B$5)</f>
        <v>5000</v>
      </c>
      <c r="BW9" s="3"/>
      <c r="BX9" s="255">
        <v>0.5</v>
      </c>
      <c r="BY9" s="266">
        <f>($B9*BX9)*(1+$B$5)</f>
        <v>50000</v>
      </c>
      <c r="BZ9" s="28">
        <f>$C9*BY9*(1+$B$5)</f>
        <v>31250</v>
      </c>
      <c r="CA9" s="3"/>
      <c r="CB9" s="264">
        <v>1</v>
      </c>
      <c r="CC9" s="28">
        <f>(B9*CB9)*(1+$B$5)</f>
        <v>100000</v>
      </c>
      <c r="CD9" s="28">
        <f>CC9*C9*(1+$B$5)</f>
        <v>62500</v>
      </c>
      <c r="CE9" s="3"/>
      <c r="CF9" s="264">
        <v>1</v>
      </c>
      <c r="CG9" s="28">
        <f>CF9*B9*(1+$CF$5)*(1+$B$5)</f>
        <v>105000</v>
      </c>
      <c r="CH9" s="28">
        <f>CG9*C9*(1+$B$5)</f>
        <v>65625</v>
      </c>
      <c r="CI9" s="3"/>
      <c r="CJ9" s="264">
        <v>1</v>
      </c>
      <c r="CK9" s="28">
        <f>CJ9*B9*(1+$CJ$5+$CF$5)*(1+$B$5)</f>
        <v>110000</v>
      </c>
      <c r="CL9" s="28">
        <f>CK9*C9*(1+$B$5)</f>
        <v>68750</v>
      </c>
    </row>
    <row r="10" spans="1:90" ht="12.75">
      <c r="A10" s="165" t="s">
        <v>221</v>
      </c>
      <c r="B10" s="168">
        <v>80000</v>
      </c>
      <c r="C10" s="167">
        <v>0.5</v>
      </c>
      <c r="D10" s="255">
        <v>0</v>
      </c>
      <c r="E10" s="28">
        <f>($B10*D10)*(1+$B$5)</f>
        <v>0</v>
      </c>
      <c r="F10" s="28">
        <v>0</v>
      </c>
      <c r="G10" s="3"/>
      <c r="H10" s="255">
        <v>0.01</v>
      </c>
      <c r="I10" s="28">
        <f>($B10*H10)*(1+$B$5)</f>
        <v>1000</v>
      </c>
      <c r="J10" s="28">
        <v>0</v>
      </c>
      <c r="K10" s="3"/>
      <c r="L10" s="255">
        <v>0.01</v>
      </c>
      <c r="M10" s="28">
        <f>($B10*L10)*(1+$B$5)</f>
        <v>1000</v>
      </c>
      <c r="N10" s="28">
        <v>0</v>
      </c>
      <c r="O10" s="3"/>
      <c r="P10" s="255">
        <v>0.01</v>
      </c>
      <c r="Q10" s="28">
        <f>($B10*P10)*(1+$B$5)</f>
        <v>1000</v>
      </c>
      <c r="R10" s="28">
        <v>0</v>
      </c>
      <c r="S10" s="3"/>
      <c r="T10" s="255">
        <v>0.01</v>
      </c>
      <c r="U10" s="28">
        <f>($B10*T10)*(1+$B$5)</f>
        <v>1000</v>
      </c>
      <c r="V10" s="28">
        <v>0</v>
      </c>
      <c r="W10" s="3"/>
      <c r="X10" s="255">
        <v>0.01</v>
      </c>
      <c r="Y10" s="28">
        <f>($B10*X10)*(1+$B$5)</f>
        <v>1000</v>
      </c>
      <c r="Z10" s="28">
        <v>0</v>
      </c>
      <c r="AA10" s="3"/>
      <c r="AB10" s="255">
        <v>0.03</v>
      </c>
      <c r="AC10" s="28">
        <f>($B10*AB10)*(1+$B$5)</f>
        <v>3000</v>
      </c>
      <c r="AD10" s="28">
        <v>0</v>
      </c>
      <c r="AE10" s="3"/>
      <c r="AF10" s="255">
        <v>0.03</v>
      </c>
      <c r="AG10" s="28">
        <f>($B10*AF10)*(1+$B$5)</f>
        <v>3000</v>
      </c>
      <c r="AH10" s="28">
        <v>0</v>
      </c>
      <c r="AI10" s="3"/>
      <c r="AJ10" s="255">
        <v>0.03</v>
      </c>
      <c r="AK10" s="28">
        <f>($B10*AJ10)*(1+$B$5)</f>
        <v>3000</v>
      </c>
      <c r="AL10" s="28">
        <v>0</v>
      </c>
      <c r="AM10" s="3"/>
      <c r="AN10" s="255">
        <v>0.05</v>
      </c>
      <c r="AO10" s="28">
        <f>($B10*AN10)*(1+$B$5)</f>
        <v>5000</v>
      </c>
      <c r="AP10" s="28">
        <v>0</v>
      </c>
      <c r="AQ10" s="3"/>
      <c r="AR10" s="255">
        <v>0.05</v>
      </c>
      <c r="AS10" s="28">
        <f>($B10*AR10)*(1+$B$5)</f>
        <v>5000</v>
      </c>
      <c r="AT10" s="28">
        <v>0</v>
      </c>
      <c r="AU10" s="3"/>
      <c r="AV10" s="255">
        <v>0.05</v>
      </c>
      <c r="AW10" s="28">
        <f>($B10*AV10)*(1+$B$5)</f>
        <v>5000</v>
      </c>
      <c r="AX10" s="28">
        <v>0</v>
      </c>
      <c r="AY10" s="3"/>
      <c r="AZ10" s="255">
        <v>0.08</v>
      </c>
      <c r="BA10" s="28">
        <f>($B10*AZ10)*(1+$B$5)</f>
        <v>8000</v>
      </c>
      <c r="BB10" s="28">
        <f>$C10*BA10*(1+$B$5)</f>
        <v>5000</v>
      </c>
      <c r="BC10" s="3"/>
      <c r="BD10" s="255">
        <v>0.08</v>
      </c>
      <c r="BE10" s="28">
        <f>($B10*BD10)*(1+$B$5)</f>
        <v>8000</v>
      </c>
      <c r="BF10" s="28">
        <f>$C10*BE10*(1+$B$5)</f>
        <v>5000</v>
      </c>
      <c r="BG10" s="3"/>
      <c r="BH10" s="255">
        <v>0.08</v>
      </c>
      <c r="BI10" s="28">
        <f>($B10*BH10)*(1+$B$5)</f>
        <v>8000</v>
      </c>
      <c r="BJ10" s="28">
        <f>$C10*BI10*(1+$B$5)</f>
        <v>5000</v>
      </c>
      <c r="BK10" s="3"/>
      <c r="BL10" s="255">
        <v>0.08</v>
      </c>
      <c r="BM10" s="28">
        <f>($B10*BL10)*(1+$B$5)</f>
        <v>8000</v>
      </c>
      <c r="BN10" s="28">
        <f>$C10*BM10*(1+$B$5)</f>
        <v>5000</v>
      </c>
      <c r="BO10" s="3"/>
      <c r="BP10" s="255">
        <v>0.08</v>
      </c>
      <c r="BQ10" s="28">
        <f>($B10*BP10)*(1+$B$5)</f>
        <v>8000</v>
      </c>
      <c r="BR10" s="28">
        <f>$C10*BQ10*(1+$B$5)</f>
        <v>5000</v>
      </c>
      <c r="BS10" s="3"/>
      <c r="BT10" s="255">
        <v>0.08</v>
      </c>
      <c r="BU10" s="28">
        <f>($B10*BT10)*(1+$B$5)</f>
        <v>8000</v>
      </c>
      <c r="BV10" s="28">
        <f>$C10*BU10*(1+$B$5)</f>
        <v>5000</v>
      </c>
      <c r="BW10" s="3"/>
      <c r="BX10" s="255">
        <v>0.5</v>
      </c>
      <c r="BY10" s="266">
        <f>($B10*BX10)*(1+$B$5)</f>
        <v>50000</v>
      </c>
      <c r="BZ10" s="28">
        <f>$C10*BY10*(1+$B$5)</f>
        <v>31250</v>
      </c>
      <c r="CA10" s="3"/>
      <c r="CB10" s="264">
        <v>1</v>
      </c>
      <c r="CC10" s="28">
        <f>(B10*CB10)*(1+$B$5)</f>
        <v>100000</v>
      </c>
      <c r="CD10" s="28">
        <f>CC10*C10*(1+$B$5)</f>
        <v>62500</v>
      </c>
      <c r="CE10" s="3"/>
      <c r="CF10" s="264">
        <v>1</v>
      </c>
      <c r="CG10" s="28">
        <f>CF10*B10*(1+$CF$5)*(1+$B$5)</f>
        <v>105000</v>
      </c>
      <c r="CH10" s="28">
        <f>CG10*C10*(1+$B$5)</f>
        <v>65625</v>
      </c>
      <c r="CI10" s="3"/>
      <c r="CJ10" s="264">
        <v>1</v>
      </c>
      <c r="CK10" s="28">
        <f>CJ10*B10*(1+$CJ$5+$CF$5)*(1+$B$5)</f>
        <v>110000</v>
      </c>
      <c r="CL10" s="28">
        <f>CK10*C10*(1+$B$5)</f>
        <v>68750</v>
      </c>
    </row>
    <row r="11" spans="1:90" ht="12.75">
      <c r="A11" t="s">
        <v>226</v>
      </c>
      <c r="B11" s="168">
        <v>90000</v>
      </c>
      <c r="C11" s="167">
        <v>0.4</v>
      </c>
      <c r="D11" s="255">
        <v>0</v>
      </c>
      <c r="E11" s="28">
        <f>($B11*D11)*(1+$B$5)</f>
        <v>0</v>
      </c>
      <c r="F11" s="28">
        <v>0</v>
      </c>
      <c r="G11" s="6"/>
      <c r="H11" s="255">
        <v>0</v>
      </c>
      <c r="I11" s="28">
        <f>($B11*H11)*(1+$B$5)</f>
        <v>0</v>
      </c>
      <c r="J11" s="28">
        <v>0</v>
      </c>
      <c r="K11" s="6"/>
      <c r="L11" s="255">
        <v>0</v>
      </c>
      <c r="M11" s="28">
        <f>($B11*L11)*(1+$B$5)</f>
        <v>0</v>
      </c>
      <c r="N11" s="28">
        <v>0</v>
      </c>
      <c r="O11" s="6"/>
      <c r="P11" s="255">
        <v>0</v>
      </c>
      <c r="Q11" s="28">
        <f>($B11*P11)*(1+$B$5)</f>
        <v>0</v>
      </c>
      <c r="R11" s="28">
        <v>0</v>
      </c>
      <c r="S11" s="6"/>
      <c r="T11" s="255">
        <v>0</v>
      </c>
      <c r="U11" s="28">
        <f>($B11*T11)*(1+$B$5)</f>
        <v>0</v>
      </c>
      <c r="V11" s="28">
        <v>0</v>
      </c>
      <c r="W11" s="6"/>
      <c r="X11" s="255">
        <v>0</v>
      </c>
      <c r="Y11" s="28">
        <f>($B11*X11)*(1+$B$5)</f>
        <v>0</v>
      </c>
      <c r="Z11" s="28">
        <v>0</v>
      </c>
      <c r="AA11" s="6"/>
      <c r="AB11" s="255">
        <v>0</v>
      </c>
      <c r="AC11" s="28">
        <f>($B11*AB11)*(1+$B$5)</f>
        <v>0</v>
      </c>
      <c r="AD11" s="28">
        <v>0</v>
      </c>
      <c r="AE11" s="6"/>
      <c r="AF11" s="255">
        <v>0</v>
      </c>
      <c r="AG11" s="28">
        <f>($B11*AF11)*(1+$B$5)</f>
        <v>0</v>
      </c>
      <c r="AH11" s="28">
        <v>0</v>
      </c>
      <c r="AI11" s="6"/>
      <c r="AJ11" s="255">
        <v>0</v>
      </c>
      <c r="AK11" s="28">
        <f>($B11*AJ11)*(1+$B$5)</f>
        <v>0</v>
      </c>
      <c r="AL11" s="28">
        <v>0</v>
      </c>
      <c r="AM11" s="6"/>
      <c r="AN11" s="255">
        <v>0</v>
      </c>
      <c r="AO11" s="28">
        <f>($B11*AN11)*(1+$B$5)</f>
        <v>0</v>
      </c>
      <c r="AP11" s="28">
        <v>0</v>
      </c>
      <c r="AQ11" s="6"/>
      <c r="AR11" s="255">
        <v>0</v>
      </c>
      <c r="AS11" s="28">
        <f>($B11*AR11)*(1+$B$5)</f>
        <v>0</v>
      </c>
      <c r="AT11" s="28">
        <v>0</v>
      </c>
      <c r="AU11" s="6"/>
      <c r="AV11" s="255">
        <v>0</v>
      </c>
      <c r="AW11" s="28">
        <f>($B11*AV11)*(1+$B$5)</f>
        <v>0</v>
      </c>
      <c r="AX11" s="28">
        <v>0</v>
      </c>
      <c r="AY11" s="6"/>
      <c r="AZ11" s="255">
        <v>0</v>
      </c>
      <c r="BA11" s="28">
        <f>($B11*AZ11)*(1+$B$5)</f>
        <v>0</v>
      </c>
      <c r="BB11" s="28">
        <f>$C11*BA11*(1+$B$5)</f>
        <v>0</v>
      </c>
      <c r="BC11" s="6"/>
      <c r="BD11" s="255">
        <v>0</v>
      </c>
      <c r="BE11" s="28">
        <f>($B11*BD11)*(1+$B$5)</f>
        <v>0</v>
      </c>
      <c r="BF11" s="28">
        <f>$C11*BE11*(1+$B$5)</f>
        <v>0</v>
      </c>
      <c r="BG11" s="6"/>
      <c r="BH11" s="255">
        <v>0</v>
      </c>
      <c r="BI11" s="28">
        <f>($B11*BH11)*(1+$B$5)</f>
        <v>0</v>
      </c>
      <c r="BJ11" s="28">
        <f>$C11*BI11*(1+$B$5)</f>
        <v>0</v>
      </c>
      <c r="BK11" s="6"/>
      <c r="BL11" s="255">
        <v>0</v>
      </c>
      <c r="BM11" s="28">
        <f>($B11*BL11)*(1+$B$5)</f>
        <v>0</v>
      </c>
      <c r="BN11" s="28">
        <f>$C11*BM11*(1+$B$5)</f>
        <v>0</v>
      </c>
      <c r="BO11" s="6"/>
      <c r="BP11" s="255">
        <v>0</v>
      </c>
      <c r="BQ11" s="28">
        <f>($B11*BP11)*(1+$B$5)</f>
        <v>0</v>
      </c>
      <c r="BR11" s="28">
        <f>$C11*BQ11*(1+$B$5)</f>
        <v>0</v>
      </c>
      <c r="BS11" s="6"/>
      <c r="BT11" s="255">
        <v>0</v>
      </c>
      <c r="BU11" s="28">
        <f>($B11*BT11)*(1+$B$5)</f>
        <v>0</v>
      </c>
      <c r="BV11" s="28">
        <f>$C11*BU11*(1+$B$5)</f>
        <v>0</v>
      </c>
      <c r="BW11" s="6"/>
      <c r="BX11" s="255">
        <v>0</v>
      </c>
      <c r="BY11" s="266">
        <f>(B11*BX11)*(1+$B$5)</f>
        <v>0</v>
      </c>
      <c r="BZ11" s="28">
        <f>$C11*BY11*(1+$B$5)</f>
        <v>0</v>
      </c>
      <c r="CA11" s="6"/>
      <c r="CB11" s="264">
        <v>0</v>
      </c>
      <c r="CC11" s="6">
        <f>(B11*CB11)*(1+$B$5)</f>
        <v>0</v>
      </c>
      <c r="CD11" s="3">
        <f>CC11*C11*(1+$B$5)</f>
        <v>0</v>
      </c>
      <c r="CE11" s="6"/>
      <c r="CF11" s="264">
        <v>0</v>
      </c>
      <c r="CG11" s="6">
        <f>CF11*B11*(1+$CF$5)*(1+$B$5)</f>
        <v>0</v>
      </c>
      <c r="CH11" s="3">
        <f>CG11*C11*(1+$B$5)</f>
        <v>0</v>
      </c>
      <c r="CI11" s="6"/>
      <c r="CJ11" s="264"/>
      <c r="CK11" s="6">
        <f>CJ11*B11*(1+$CJ$5+$CF$5)*(1+$B$5)</f>
        <v>0</v>
      </c>
      <c r="CL11" s="3">
        <f>CK11*C11*(1+$B$5)</f>
        <v>0</v>
      </c>
    </row>
    <row r="12" spans="1:90" s="250" customFormat="1" ht="12.75">
      <c r="A12" s="250" t="s">
        <v>224</v>
      </c>
      <c r="B12" s="247">
        <v>45000</v>
      </c>
      <c r="C12" s="248"/>
      <c r="D12" s="256"/>
      <c r="E12" s="203">
        <f>($B12*D12)*(1+$B$5)</f>
        <v>0</v>
      </c>
      <c r="F12" s="203">
        <v>0</v>
      </c>
      <c r="G12" s="170"/>
      <c r="H12" s="256"/>
      <c r="I12" s="203">
        <f>($B12*H12)*(1+$B$5)</f>
        <v>0</v>
      </c>
      <c r="J12" s="203">
        <v>0</v>
      </c>
      <c r="K12" s="170"/>
      <c r="L12" s="256"/>
      <c r="M12" s="203">
        <f>($B12*L12)*(1+$B$5)</f>
        <v>0</v>
      </c>
      <c r="N12" s="203">
        <v>0</v>
      </c>
      <c r="O12" s="170"/>
      <c r="P12" s="256"/>
      <c r="Q12" s="203">
        <f>($B12*P12)*(1+$B$5)</f>
        <v>0</v>
      </c>
      <c r="R12" s="203">
        <v>0</v>
      </c>
      <c r="S12" s="170"/>
      <c r="T12" s="256"/>
      <c r="U12" s="203">
        <f>($B12*T12)*(1+$B$5)</f>
        <v>0</v>
      </c>
      <c r="V12" s="203">
        <v>0</v>
      </c>
      <c r="W12" s="170"/>
      <c r="X12" s="256"/>
      <c r="Y12" s="203">
        <f>($B12*X12)*(1+$B$5)</f>
        <v>0</v>
      </c>
      <c r="Z12" s="203">
        <v>0</v>
      </c>
      <c r="AA12" s="170"/>
      <c r="AB12" s="256"/>
      <c r="AC12" s="203">
        <f>($B12*AB12)*(1+$B$5)</f>
        <v>0</v>
      </c>
      <c r="AD12" s="203">
        <v>0</v>
      </c>
      <c r="AE12" s="170"/>
      <c r="AF12" s="256"/>
      <c r="AG12" s="203">
        <f>($B12*AF12)*(1+$B$5)</f>
        <v>0</v>
      </c>
      <c r="AH12" s="203">
        <v>0</v>
      </c>
      <c r="AI12" s="170"/>
      <c r="AJ12" s="256"/>
      <c r="AK12" s="203">
        <f>($B12*AJ12)*(1+$B$5)</f>
        <v>0</v>
      </c>
      <c r="AL12" s="203">
        <v>0</v>
      </c>
      <c r="AM12" s="170"/>
      <c r="AN12" s="256"/>
      <c r="AO12" s="203">
        <f>($B12*AN12)*(1+$B$5)</f>
        <v>0</v>
      </c>
      <c r="AP12" s="203">
        <v>0</v>
      </c>
      <c r="AQ12" s="170"/>
      <c r="AR12" s="256"/>
      <c r="AS12" s="203">
        <f>($B12*AR12)*(1+$B$5)</f>
        <v>0</v>
      </c>
      <c r="AT12" s="203">
        <v>0</v>
      </c>
      <c r="AU12" s="170"/>
      <c r="AV12" s="256"/>
      <c r="AW12" s="203">
        <f>($B12*AV12)*(1+$B$5)</f>
        <v>0</v>
      </c>
      <c r="AX12" s="203">
        <v>0</v>
      </c>
      <c r="AY12" s="170"/>
      <c r="AZ12" s="256"/>
      <c r="BA12" s="203">
        <f>($B12*AZ12)*(1+$B$5)</f>
        <v>0</v>
      </c>
      <c r="BB12" s="203">
        <f>$C12*BA12*(1+$B$5)</f>
        <v>0</v>
      </c>
      <c r="BC12" s="170"/>
      <c r="BD12" s="256"/>
      <c r="BE12" s="203">
        <f>($B12*BD12)*(1+$B$5)</f>
        <v>0</v>
      </c>
      <c r="BF12" s="203">
        <f>$C12*BE12*(1+$B$5)</f>
        <v>0</v>
      </c>
      <c r="BG12" s="170"/>
      <c r="BH12" s="256"/>
      <c r="BI12" s="203">
        <f>($B12*BH12)*(1+$B$5)</f>
        <v>0</v>
      </c>
      <c r="BJ12" s="203">
        <f>$C12*BI12*(1+$B$5)</f>
        <v>0</v>
      </c>
      <c r="BK12" s="170"/>
      <c r="BL12" s="256"/>
      <c r="BM12" s="203">
        <f>($B12*BL12)*(1+$B$5)</f>
        <v>0</v>
      </c>
      <c r="BN12" s="203">
        <f>$C12*BM12*(1+$B$5)</f>
        <v>0</v>
      </c>
      <c r="BO12" s="170"/>
      <c r="BP12" s="256"/>
      <c r="BQ12" s="203">
        <f>($B12*BP12)*(1+$B$5)</f>
        <v>0</v>
      </c>
      <c r="BR12" s="203">
        <f>$C12*BQ12*(1+$B$5)</f>
        <v>0</v>
      </c>
      <c r="BS12" s="170"/>
      <c r="BT12" s="256"/>
      <c r="BU12" s="203">
        <f>($B12*BT12)*(1+$B$5)</f>
        <v>0</v>
      </c>
      <c r="BV12" s="203">
        <f>$C12*BU12*(1+$B$5)</f>
        <v>0</v>
      </c>
      <c r="BW12" s="170"/>
      <c r="BX12" s="256"/>
      <c r="BY12" s="203">
        <f>(B12*BX12)*(1+$B$5)</f>
        <v>0</v>
      </c>
      <c r="BZ12" s="203">
        <f>$C12*BY12*(1+$B$5)</f>
        <v>0</v>
      </c>
      <c r="CA12" s="170"/>
      <c r="CB12" s="265">
        <v>1</v>
      </c>
      <c r="CC12" s="170">
        <f>(B12*CB12)*(1+$B$5)</f>
        <v>56250</v>
      </c>
      <c r="CD12" s="170">
        <f>CC12*C12*(1+$B$5)</f>
        <v>0</v>
      </c>
      <c r="CE12" s="170"/>
      <c r="CF12" s="265">
        <v>1</v>
      </c>
      <c r="CG12" s="170">
        <f>CF12*B12*(1+$CF$5)*(1+$B$5)</f>
        <v>59062.5</v>
      </c>
      <c r="CH12" s="170">
        <f>CG12*C12*(1+$B$5)</f>
        <v>0</v>
      </c>
      <c r="CI12" s="170"/>
      <c r="CJ12" s="265">
        <v>1</v>
      </c>
      <c r="CK12" s="170">
        <f>CJ12*B12*(1+$CJ$5+$CF$5)*(1+$B$5)</f>
        <v>61875.00000000001</v>
      </c>
      <c r="CL12" s="170">
        <f>CK12*C12*(1+$B$5)</f>
        <v>0</v>
      </c>
    </row>
    <row r="13" spans="2:90" ht="12.75">
      <c r="B13" s="166"/>
      <c r="C13" s="167"/>
      <c r="D13" s="257">
        <f>SUM(D9:D12)</f>
        <v>0.01</v>
      </c>
      <c r="E13" s="22">
        <f>SUM(E9:E12)</f>
        <v>1000</v>
      </c>
      <c r="F13" s="22">
        <f>SUM(F9:F12)</f>
        <v>0</v>
      </c>
      <c r="G13" s="3"/>
      <c r="H13" s="257">
        <f>SUM(H9:H12)</f>
        <v>0.02</v>
      </c>
      <c r="I13" s="22">
        <f>SUM(I9:I12)</f>
        <v>2000</v>
      </c>
      <c r="J13" s="22">
        <f>SUM(J9:J12)</f>
        <v>0</v>
      </c>
      <c r="K13" s="3"/>
      <c r="L13" s="257">
        <f>SUM(L9:L12)</f>
        <v>0.02</v>
      </c>
      <c r="M13" s="22">
        <f>SUM(M9:M12)</f>
        <v>2000</v>
      </c>
      <c r="N13" s="22">
        <f>SUM(N9:N12)</f>
        <v>0</v>
      </c>
      <c r="O13" s="3"/>
      <c r="P13" s="257">
        <f>SUM(P9:P12)</f>
        <v>0.02</v>
      </c>
      <c r="Q13" s="22">
        <f>SUM(Q9:Q12)</f>
        <v>2000</v>
      </c>
      <c r="R13" s="22">
        <f>SUM(R9:R12)</f>
        <v>0</v>
      </c>
      <c r="S13" s="3"/>
      <c r="T13" s="257">
        <f>SUM(T9:T12)</f>
        <v>0.02</v>
      </c>
      <c r="U13" s="22">
        <f>SUM(U9:U12)</f>
        <v>2000</v>
      </c>
      <c r="V13" s="22">
        <f>SUM(V9:V12)</f>
        <v>0</v>
      </c>
      <c r="W13" s="3"/>
      <c r="X13" s="257">
        <f>SUM(X9:X12)</f>
        <v>0.02</v>
      </c>
      <c r="Y13" s="22">
        <f>SUM(Y9:Y12)</f>
        <v>2000</v>
      </c>
      <c r="Z13" s="22">
        <f>SUM(Z9:Z12)</f>
        <v>0</v>
      </c>
      <c r="AA13" s="3"/>
      <c r="AB13" s="257">
        <f>SUM(AB9:AB12)</f>
        <v>0.06</v>
      </c>
      <c r="AC13" s="22">
        <f>SUM(AC9:AC12)</f>
        <v>6000</v>
      </c>
      <c r="AD13" s="22">
        <f>SUM(AD9:AD12)</f>
        <v>0</v>
      </c>
      <c r="AE13" s="3"/>
      <c r="AF13" s="257">
        <f>SUM(AF9:AF12)</f>
        <v>0.06</v>
      </c>
      <c r="AG13" s="22">
        <f>SUM(AG9:AG12)</f>
        <v>6000</v>
      </c>
      <c r="AH13" s="22">
        <f>SUM(AH9:AH12)</f>
        <v>0</v>
      </c>
      <c r="AI13" s="3"/>
      <c r="AJ13" s="257">
        <f>SUM(AJ9:AJ12)</f>
        <v>0.06</v>
      </c>
      <c r="AK13" s="22">
        <f>SUM(AK9:AK12)</f>
        <v>6000</v>
      </c>
      <c r="AL13" s="22">
        <f>SUM(AL9:AL12)</f>
        <v>0</v>
      </c>
      <c r="AM13" s="3"/>
      <c r="AN13" s="257">
        <f>SUM(AN9:AN12)</f>
        <v>0.1</v>
      </c>
      <c r="AO13" s="22">
        <f>SUM(AO9:AO12)</f>
        <v>10000</v>
      </c>
      <c r="AP13" s="22">
        <f>SUM(AP9:AP12)</f>
        <v>0</v>
      </c>
      <c r="AQ13" s="3"/>
      <c r="AR13" s="257">
        <f>SUM(AR9:AR12)</f>
        <v>0.1</v>
      </c>
      <c r="AS13" s="22">
        <f>SUM(AS9:AS12)</f>
        <v>10000</v>
      </c>
      <c r="AT13" s="22">
        <f>SUM(AT9:AT12)</f>
        <v>0</v>
      </c>
      <c r="AU13" s="3"/>
      <c r="AV13" s="257">
        <f>SUM(AV9:AV12)</f>
        <v>0.1</v>
      </c>
      <c r="AW13" s="22">
        <f>SUM(AW9:AW12)</f>
        <v>10000</v>
      </c>
      <c r="AX13" s="22">
        <f>SUM(AX9:AX12)</f>
        <v>0</v>
      </c>
      <c r="AY13" s="3"/>
      <c r="AZ13" s="257">
        <f>SUM(AZ9:AZ12)</f>
        <v>0.16</v>
      </c>
      <c r="BA13" s="22">
        <f>SUM(BA9:BA12)</f>
        <v>16000</v>
      </c>
      <c r="BB13" s="22">
        <f>SUM(BB9:BB12)</f>
        <v>10000</v>
      </c>
      <c r="BC13" s="3"/>
      <c r="BD13" s="257">
        <f>SUM(BD9:BD12)</f>
        <v>0.16</v>
      </c>
      <c r="BE13" s="22">
        <f>SUM(BE9:BE12)</f>
        <v>16000</v>
      </c>
      <c r="BF13" s="22">
        <f>SUM(BF9:BF12)</f>
        <v>10000</v>
      </c>
      <c r="BG13" s="3"/>
      <c r="BH13" s="257">
        <f>SUM(BH9:BH12)</f>
        <v>0.16</v>
      </c>
      <c r="BI13" s="22">
        <f>SUM(BI9:BI12)</f>
        <v>16000</v>
      </c>
      <c r="BJ13" s="22">
        <f>SUM(BJ9:BJ12)</f>
        <v>10000</v>
      </c>
      <c r="BK13" s="3"/>
      <c r="BL13" s="257">
        <f>SUM(BL9:BL12)</f>
        <v>0.16</v>
      </c>
      <c r="BM13" s="22">
        <f>SUM(BM9:BM12)</f>
        <v>16000</v>
      </c>
      <c r="BN13" s="22">
        <f>SUM(BN9:BN12)</f>
        <v>10000</v>
      </c>
      <c r="BO13" s="3"/>
      <c r="BP13" s="257">
        <f>SUM(BP9:BP12)</f>
        <v>0.16</v>
      </c>
      <c r="BQ13" s="22">
        <f>SUM(BQ9:BQ12)</f>
        <v>16000</v>
      </c>
      <c r="BR13" s="22">
        <f>SUM(BR9:BR12)</f>
        <v>10000</v>
      </c>
      <c r="BS13" s="3"/>
      <c r="BT13" s="257">
        <f>SUM(BT9:BT12)</f>
        <v>0.16</v>
      </c>
      <c r="BU13" s="22">
        <f>SUM(BU9:BU12)</f>
        <v>16000</v>
      </c>
      <c r="BV13" s="22">
        <f>SUM(BV9:BV12)</f>
        <v>10000</v>
      </c>
      <c r="BW13" s="3"/>
      <c r="BX13" s="257">
        <f>SUM(BX9:BX12)</f>
        <v>1</v>
      </c>
      <c r="BY13" s="267">
        <f>SUM(BY9:BY12)</f>
        <v>100000</v>
      </c>
      <c r="BZ13" s="22">
        <f>SUM(BZ9:BZ12)</f>
        <v>62500</v>
      </c>
      <c r="CA13" s="3"/>
      <c r="CB13" s="262">
        <f>SUM(CB9:CB12)</f>
        <v>3</v>
      </c>
      <c r="CC13" s="22">
        <f>SUM(CC9:CC12)</f>
        <v>256250</v>
      </c>
      <c r="CD13" s="22">
        <f>SUM(CD9:CD12)</f>
        <v>125000</v>
      </c>
      <c r="CE13" s="3"/>
      <c r="CF13" s="262">
        <f>SUM(CF9:CF12)</f>
        <v>3</v>
      </c>
      <c r="CG13" s="22">
        <f>SUM(CG9:CG12)</f>
        <v>269062.5</v>
      </c>
      <c r="CH13" s="22">
        <f>SUM(CH9:CH12)</f>
        <v>131250</v>
      </c>
      <c r="CI13" s="3"/>
      <c r="CJ13" s="262">
        <f>SUM(CJ9:CJ12)</f>
        <v>3</v>
      </c>
      <c r="CK13" s="22">
        <f>SUM(CK9:CK12)</f>
        <v>281875</v>
      </c>
      <c r="CL13" s="22">
        <f>SUM(CL9:CL12)</f>
        <v>137500</v>
      </c>
    </row>
    <row r="14" spans="2:90" ht="12.75">
      <c r="B14" s="166"/>
      <c r="C14" s="167"/>
      <c r="D14" s="257"/>
      <c r="E14" s="22"/>
      <c r="F14" s="22"/>
      <c r="G14" s="3"/>
      <c r="H14" s="257"/>
      <c r="I14" s="22"/>
      <c r="J14" s="22"/>
      <c r="K14" s="3"/>
      <c r="L14" s="257"/>
      <c r="M14" s="22"/>
      <c r="N14" s="22"/>
      <c r="O14" s="3"/>
      <c r="P14" s="257"/>
      <c r="Q14" s="22"/>
      <c r="R14" s="22"/>
      <c r="S14" s="3"/>
      <c r="T14" s="257"/>
      <c r="U14" s="22"/>
      <c r="V14" s="22"/>
      <c r="W14" s="3"/>
      <c r="X14" s="257"/>
      <c r="Y14" s="22"/>
      <c r="Z14" s="22"/>
      <c r="AA14" s="3"/>
      <c r="AB14" s="257"/>
      <c r="AC14" s="22"/>
      <c r="AD14" s="22"/>
      <c r="AE14" s="3"/>
      <c r="AF14" s="257"/>
      <c r="AG14" s="22"/>
      <c r="AH14" s="22"/>
      <c r="AI14" s="3"/>
      <c r="AJ14" s="257"/>
      <c r="AK14" s="22"/>
      <c r="AL14" s="22"/>
      <c r="AM14" s="3"/>
      <c r="AN14" s="257"/>
      <c r="AO14" s="22"/>
      <c r="AP14" s="22"/>
      <c r="AQ14" s="3"/>
      <c r="AR14" s="257"/>
      <c r="AS14" s="22"/>
      <c r="AT14" s="22"/>
      <c r="AU14" s="3"/>
      <c r="AV14" s="257"/>
      <c r="AW14" s="22"/>
      <c r="AX14" s="22"/>
      <c r="AY14" s="3"/>
      <c r="AZ14" s="257"/>
      <c r="BA14" s="22"/>
      <c r="BB14" s="22"/>
      <c r="BC14" s="3"/>
      <c r="BD14" s="257"/>
      <c r="BE14" s="22"/>
      <c r="BF14" s="22"/>
      <c r="BG14" s="3"/>
      <c r="BH14" s="257"/>
      <c r="BI14" s="22"/>
      <c r="BJ14" s="22"/>
      <c r="BK14" s="3"/>
      <c r="BL14" s="257"/>
      <c r="BM14" s="22"/>
      <c r="BN14" s="22"/>
      <c r="BO14" s="3"/>
      <c r="BP14" s="257"/>
      <c r="BQ14" s="22"/>
      <c r="BR14" s="22"/>
      <c r="BS14" s="3"/>
      <c r="BT14" s="257"/>
      <c r="BU14" s="22"/>
      <c r="BV14" s="22"/>
      <c r="BW14" s="3"/>
      <c r="BX14" s="257"/>
      <c r="BY14" s="267"/>
      <c r="BZ14" s="22"/>
      <c r="CA14" s="3"/>
      <c r="CB14" s="262"/>
      <c r="CC14" s="22"/>
      <c r="CD14" s="22"/>
      <c r="CE14" s="3"/>
      <c r="CF14" s="262"/>
      <c r="CG14" s="22"/>
      <c r="CH14" s="22"/>
      <c r="CI14" s="3"/>
      <c r="CJ14" s="262"/>
      <c r="CK14" s="22"/>
      <c r="CL14" s="22"/>
    </row>
    <row r="15" spans="2:90" ht="12.75">
      <c r="B15" s="166"/>
      <c r="C15" s="167"/>
      <c r="D15" s="257"/>
      <c r="E15" s="22"/>
      <c r="F15" s="22"/>
      <c r="G15" s="3"/>
      <c r="H15" s="257"/>
      <c r="I15" s="22"/>
      <c r="J15" s="22"/>
      <c r="K15" s="3"/>
      <c r="L15" s="257"/>
      <c r="M15" s="22"/>
      <c r="N15" s="22"/>
      <c r="O15" s="3"/>
      <c r="P15" s="257"/>
      <c r="Q15" s="22"/>
      <c r="R15" s="22"/>
      <c r="S15" s="3"/>
      <c r="T15" s="257"/>
      <c r="U15" s="22"/>
      <c r="V15" s="22"/>
      <c r="W15" s="3"/>
      <c r="X15" s="257"/>
      <c r="Y15" s="22"/>
      <c r="Z15" s="22"/>
      <c r="AA15" s="3"/>
      <c r="AB15" s="257"/>
      <c r="AC15" s="22"/>
      <c r="AD15" s="22"/>
      <c r="AE15" s="3"/>
      <c r="AF15" s="257"/>
      <c r="AG15" s="22"/>
      <c r="AH15" s="22"/>
      <c r="AI15" s="3"/>
      <c r="AJ15" s="257"/>
      <c r="AK15" s="22"/>
      <c r="AL15" s="22"/>
      <c r="AM15" s="3"/>
      <c r="AN15" s="257"/>
      <c r="AO15" s="22"/>
      <c r="AP15" s="22"/>
      <c r="AQ15" s="3"/>
      <c r="AR15" s="257"/>
      <c r="AS15" s="22"/>
      <c r="AT15" s="22"/>
      <c r="AU15" s="3"/>
      <c r="AV15" s="257"/>
      <c r="AW15" s="22"/>
      <c r="AX15" s="22"/>
      <c r="AY15" s="3"/>
      <c r="AZ15" s="257"/>
      <c r="BA15" s="22"/>
      <c r="BB15" s="22"/>
      <c r="BC15" s="3"/>
      <c r="BD15" s="257"/>
      <c r="BE15" s="22"/>
      <c r="BF15" s="22"/>
      <c r="BG15" s="3"/>
      <c r="BH15" s="257"/>
      <c r="BI15" s="22"/>
      <c r="BJ15" s="22"/>
      <c r="BK15" s="3"/>
      <c r="BL15" s="257"/>
      <c r="BM15" s="22"/>
      <c r="BN15" s="22"/>
      <c r="BO15" s="3"/>
      <c r="BP15" s="257"/>
      <c r="BQ15" s="22"/>
      <c r="BR15" s="22"/>
      <c r="BS15" s="3"/>
      <c r="BT15" s="257"/>
      <c r="BU15" s="22"/>
      <c r="BV15" s="22"/>
      <c r="BW15" s="3"/>
      <c r="BX15" s="257"/>
      <c r="BY15" s="267"/>
      <c r="BZ15" s="22"/>
      <c r="CA15" s="3"/>
      <c r="CB15" s="262"/>
      <c r="CC15" s="22"/>
      <c r="CD15" s="22"/>
      <c r="CE15" s="3"/>
      <c r="CF15" s="262"/>
      <c r="CG15" s="22"/>
      <c r="CH15" s="22"/>
      <c r="CI15" s="3"/>
      <c r="CJ15" s="262"/>
      <c r="CK15" s="22"/>
      <c r="CL15" s="22"/>
    </row>
    <row r="16" spans="2:90" ht="12.75">
      <c r="B16" s="166"/>
      <c r="C16" s="167"/>
      <c r="D16" s="257"/>
      <c r="E16" s="22"/>
      <c r="F16" s="22"/>
      <c r="G16" s="3"/>
      <c r="H16" s="257"/>
      <c r="I16" s="22"/>
      <c r="J16" s="22"/>
      <c r="K16" s="3"/>
      <c r="L16" s="257"/>
      <c r="M16" s="22"/>
      <c r="N16" s="22"/>
      <c r="O16" s="3"/>
      <c r="P16" s="257"/>
      <c r="Q16" s="22"/>
      <c r="R16" s="22"/>
      <c r="S16" s="3"/>
      <c r="T16" s="257"/>
      <c r="U16" s="22"/>
      <c r="V16" s="22"/>
      <c r="W16" s="3"/>
      <c r="X16" s="257"/>
      <c r="Y16" s="22"/>
      <c r="Z16" s="22"/>
      <c r="AA16" s="3"/>
      <c r="AB16" s="257"/>
      <c r="AC16" s="22"/>
      <c r="AD16" s="22"/>
      <c r="AE16" s="3"/>
      <c r="AF16" s="257"/>
      <c r="AG16" s="22"/>
      <c r="AH16" s="22"/>
      <c r="AI16" s="3"/>
      <c r="AJ16" s="257"/>
      <c r="AK16" s="22"/>
      <c r="AL16" s="22"/>
      <c r="AM16" s="3"/>
      <c r="AN16" s="257"/>
      <c r="AO16" s="22"/>
      <c r="AP16" s="22"/>
      <c r="AQ16" s="3"/>
      <c r="AR16" s="257"/>
      <c r="AS16" s="22"/>
      <c r="AT16" s="22"/>
      <c r="AU16" s="3"/>
      <c r="AV16" s="257"/>
      <c r="AW16" s="22"/>
      <c r="AX16" s="22"/>
      <c r="AY16" s="3"/>
      <c r="AZ16" s="257"/>
      <c r="BA16" s="22"/>
      <c r="BB16" s="22"/>
      <c r="BC16" s="3"/>
      <c r="BD16" s="257"/>
      <c r="BE16" s="22"/>
      <c r="BF16" s="22"/>
      <c r="BG16" s="3"/>
      <c r="BH16" s="257"/>
      <c r="BI16" s="22"/>
      <c r="BJ16" s="22"/>
      <c r="BK16" s="3"/>
      <c r="BL16" s="257"/>
      <c r="BM16" s="22"/>
      <c r="BN16" s="22"/>
      <c r="BO16" s="3"/>
      <c r="BP16" s="257"/>
      <c r="BQ16" s="22"/>
      <c r="BR16" s="22"/>
      <c r="BS16" s="3"/>
      <c r="BT16" s="257"/>
      <c r="BU16" s="22"/>
      <c r="BV16" s="22"/>
      <c r="BW16" s="3"/>
      <c r="BX16" s="257"/>
      <c r="BY16" s="267"/>
      <c r="BZ16" s="22"/>
      <c r="CA16" s="3"/>
      <c r="CB16" s="262"/>
      <c r="CC16" s="22"/>
      <c r="CD16" s="22"/>
      <c r="CE16" s="3"/>
      <c r="CF16" s="262"/>
      <c r="CG16" s="22"/>
      <c r="CH16" s="22"/>
      <c r="CI16" s="3"/>
      <c r="CJ16" s="262"/>
      <c r="CK16" s="22"/>
      <c r="CL16" s="22"/>
    </row>
    <row r="17" spans="1:88" s="3" customFormat="1" ht="12.75">
      <c r="A17" s="4" t="s">
        <v>239</v>
      </c>
      <c r="B17" s="166"/>
      <c r="C17" s="167"/>
      <c r="D17" s="258"/>
      <c r="H17" s="258"/>
      <c r="L17" s="258"/>
      <c r="P17" s="258"/>
      <c r="T17" s="258"/>
      <c r="X17" s="258"/>
      <c r="AB17" s="258"/>
      <c r="AF17" s="258"/>
      <c r="AJ17" s="258"/>
      <c r="AN17" s="258"/>
      <c r="AR17" s="258"/>
      <c r="AV17" s="258"/>
      <c r="AZ17" s="258"/>
      <c r="BD17" s="258"/>
      <c r="BH17" s="258"/>
      <c r="BL17" s="258"/>
      <c r="BP17" s="258"/>
      <c r="BT17" s="258"/>
      <c r="BX17" s="258"/>
      <c r="BY17" s="6"/>
      <c r="CB17" s="196"/>
      <c r="CF17" s="196"/>
      <c r="CJ17" s="196"/>
    </row>
    <row r="18" spans="1:90" s="3" customFormat="1" ht="12.75">
      <c r="A18" s="3" t="s">
        <v>169</v>
      </c>
      <c r="B18" s="168">
        <v>100000</v>
      </c>
      <c r="C18" s="167">
        <v>0.5</v>
      </c>
      <c r="D18" s="255">
        <v>0</v>
      </c>
      <c r="E18" s="28">
        <f>($B18*D18)*(1+$B$5)</f>
        <v>0</v>
      </c>
      <c r="F18" s="28">
        <v>0</v>
      </c>
      <c r="H18" s="255">
        <v>0</v>
      </c>
      <c r="I18" s="28">
        <f>($B18*H18)*(1+$B$5)</f>
        <v>0</v>
      </c>
      <c r="J18" s="28">
        <v>0</v>
      </c>
      <c r="L18" s="255">
        <v>0</v>
      </c>
      <c r="M18" s="28">
        <f>($B18*L18)*(1+$B$5)</f>
        <v>0</v>
      </c>
      <c r="N18" s="28">
        <v>0</v>
      </c>
      <c r="P18" s="255">
        <v>0</v>
      </c>
      <c r="Q18" s="28">
        <f>($B18*P18)*(1+$B$5)</f>
        <v>0</v>
      </c>
      <c r="R18" s="28">
        <v>0</v>
      </c>
      <c r="T18" s="255">
        <v>0</v>
      </c>
      <c r="U18" s="28">
        <f>($B18*T18)*(1+$B$5)</f>
        <v>0</v>
      </c>
      <c r="V18" s="28">
        <v>0</v>
      </c>
      <c r="X18" s="255">
        <v>0</v>
      </c>
      <c r="Y18" s="28">
        <f>($B18*X18)*(1+$B$5)</f>
        <v>0</v>
      </c>
      <c r="Z18" s="28">
        <v>0</v>
      </c>
      <c r="AB18" s="255">
        <v>0</v>
      </c>
      <c r="AC18" s="28">
        <f>($B18*AB18)*(1+$B$5)</f>
        <v>0</v>
      </c>
      <c r="AD18" s="28">
        <v>0</v>
      </c>
      <c r="AF18" s="255">
        <v>0</v>
      </c>
      <c r="AG18" s="28">
        <f>($B18*AF18)*(1+$B$5)</f>
        <v>0</v>
      </c>
      <c r="AH18" s="28">
        <v>0</v>
      </c>
      <c r="AJ18" s="255">
        <v>0</v>
      </c>
      <c r="AK18" s="28">
        <f>($B18*AJ18)*(1+$B$5)</f>
        <v>0</v>
      </c>
      <c r="AL18" s="28">
        <v>0</v>
      </c>
      <c r="AN18" s="255">
        <v>0</v>
      </c>
      <c r="AO18" s="28">
        <f>($B18*AN18)*(1+$B$5)</f>
        <v>0</v>
      </c>
      <c r="AP18" s="28">
        <v>0</v>
      </c>
      <c r="AR18" s="255">
        <v>0</v>
      </c>
      <c r="AS18" s="28">
        <f>($B18*AR18)*(1+$B$5)</f>
        <v>0</v>
      </c>
      <c r="AT18" s="28">
        <v>0</v>
      </c>
      <c r="AV18" s="255">
        <v>0</v>
      </c>
      <c r="AW18" s="28">
        <f>($B18*AV18)*(1+$B$5)</f>
        <v>0</v>
      </c>
      <c r="AX18" s="28">
        <v>0</v>
      </c>
      <c r="AZ18" s="255">
        <v>0</v>
      </c>
      <c r="BA18" s="28">
        <f>($B18*AZ18)*(1+$B$5)</f>
        <v>0</v>
      </c>
      <c r="BB18" s="28">
        <f>$C18*BA18*(1+$B$5)</f>
        <v>0</v>
      </c>
      <c r="BD18" s="255">
        <v>0</v>
      </c>
      <c r="BE18" s="28">
        <f>($B18*BD18)*(1+$B$5)</f>
        <v>0</v>
      </c>
      <c r="BF18" s="28">
        <f>$C18*BE18*(1+$B$5)</f>
        <v>0</v>
      </c>
      <c r="BH18" s="255">
        <v>0</v>
      </c>
      <c r="BI18" s="28">
        <f>($B18*BH18)*(1+$B$5)</f>
        <v>0</v>
      </c>
      <c r="BJ18" s="28">
        <f>$C18*BI18*(1+$B$5)</f>
        <v>0</v>
      </c>
      <c r="BL18" s="255">
        <v>0</v>
      </c>
      <c r="BM18" s="28">
        <f>($B18*BL18)*(1+$B$5)</f>
        <v>0</v>
      </c>
      <c r="BN18" s="28">
        <f>$C18*BM18*(1+$B$5)</f>
        <v>0</v>
      </c>
      <c r="BP18" s="255">
        <v>0</v>
      </c>
      <c r="BQ18" s="28">
        <f>($B18*BP18)*(1+$B$5)</f>
        <v>0</v>
      </c>
      <c r="BR18" s="28">
        <f>$C18*BQ18*(1+$B$5)</f>
        <v>0</v>
      </c>
      <c r="BT18" s="255">
        <v>0</v>
      </c>
      <c r="BU18" s="28">
        <f>($B18*BT18)*(1+$B$5)</f>
        <v>0</v>
      </c>
      <c r="BV18" s="28">
        <f>$C18*BU18*(1+$B$5)</f>
        <v>0</v>
      </c>
      <c r="BX18" s="255">
        <v>0</v>
      </c>
      <c r="BY18" s="6">
        <f>(B18*BX18)*(1+$B$5)</f>
        <v>0</v>
      </c>
      <c r="BZ18" s="28">
        <f>$C18*BY18*(1+$B$5)</f>
        <v>0</v>
      </c>
      <c r="CB18" s="264">
        <v>1</v>
      </c>
      <c r="CC18" s="3">
        <f>(B18*CB18)*(1+$B$5)</f>
        <v>125000</v>
      </c>
      <c r="CD18" s="26">
        <f>CC18*C18*(1+$B$5)</f>
        <v>78125</v>
      </c>
      <c r="CF18" s="264">
        <v>1</v>
      </c>
      <c r="CG18" s="3">
        <f>CF18*B18*(1+$CF$5)*(1+$B$5)</f>
        <v>131250</v>
      </c>
      <c r="CH18" s="3">
        <f>CG18*C18*(1+$B$5)</f>
        <v>82031.25</v>
      </c>
      <c r="CJ18" s="264">
        <v>1</v>
      </c>
      <c r="CK18" s="3">
        <f>CJ18*B18*(1+$CJ$5+$CF$5)*(1+$B$5)</f>
        <v>137500.00000000003</v>
      </c>
      <c r="CL18" s="3">
        <f>CK18*C18*(1+$B$5)</f>
        <v>85937.50000000001</v>
      </c>
    </row>
    <row r="19" spans="1:90" s="3" customFormat="1" ht="12.75">
      <c r="A19" s="3" t="s">
        <v>170</v>
      </c>
      <c r="B19" s="168">
        <v>70000</v>
      </c>
      <c r="C19" s="167">
        <v>0.35</v>
      </c>
      <c r="D19" s="255">
        <v>0</v>
      </c>
      <c r="E19" s="28">
        <f>($B19*D19)*(1+$B$5)</f>
        <v>0</v>
      </c>
      <c r="F19" s="28">
        <v>0</v>
      </c>
      <c r="H19" s="255">
        <v>0.03</v>
      </c>
      <c r="I19" s="28">
        <f>($B19*H19)*(1+$B$5)</f>
        <v>2625</v>
      </c>
      <c r="J19" s="28">
        <v>0</v>
      </c>
      <c r="L19" s="255">
        <v>0.03</v>
      </c>
      <c r="M19" s="28">
        <f>($B19*L19)*(1+$B$5)</f>
        <v>2625</v>
      </c>
      <c r="N19" s="28">
        <v>0</v>
      </c>
      <c r="P19" s="255">
        <v>0.03</v>
      </c>
      <c r="Q19" s="28">
        <f>($B19*P19)*(1+$B$5)</f>
        <v>2625</v>
      </c>
      <c r="R19" s="28">
        <v>0</v>
      </c>
      <c r="T19" s="255">
        <v>0.03</v>
      </c>
      <c r="U19" s="28">
        <f>($B19*T19)*(1+$B$5)</f>
        <v>2625</v>
      </c>
      <c r="V19" s="28">
        <v>0</v>
      </c>
      <c r="X19" s="255">
        <v>0.03</v>
      </c>
      <c r="Y19" s="28">
        <f>($B19*X19)*(1+$B$5)</f>
        <v>2625</v>
      </c>
      <c r="Z19" s="28">
        <v>0</v>
      </c>
      <c r="AB19" s="255">
        <v>0.03</v>
      </c>
      <c r="AC19" s="28">
        <f>($B19*AB19)*(1+$B$5)</f>
        <v>2625</v>
      </c>
      <c r="AD19" s="28">
        <v>0</v>
      </c>
      <c r="AF19" s="255">
        <v>0.03</v>
      </c>
      <c r="AG19" s="28">
        <f>($B19*AF19)*(1+$B$5)</f>
        <v>2625</v>
      </c>
      <c r="AH19" s="28">
        <v>0</v>
      </c>
      <c r="AJ19" s="255">
        <v>0.03</v>
      </c>
      <c r="AK19" s="28">
        <f>($B19*AJ19)*(1+$B$5)</f>
        <v>2625</v>
      </c>
      <c r="AL19" s="28">
        <v>0</v>
      </c>
      <c r="AN19" s="255">
        <v>0.05</v>
      </c>
      <c r="AO19" s="28">
        <f>($B19*AN19)*(1+$B$5)</f>
        <v>4375</v>
      </c>
      <c r="AP19" s="28">
        <v>0</v>
      </c>
      <c r="AR19" s="255">
        <v>0.05</v>
      </c>
      <c r="AS19" s="28">
        <f>($B19*AR19)*(1+$B$5)</f>
        <v>4375</v>
      </c>
      <c r="AT19" s="28">
        <v>0</v>
      </c>
      <c r="AV19" s="255">
        <v>0.05</v>
      </c>
      <c r="AW19" s="28">
        <f>($B19*AV19)*(1+$B$5)</f>
        <v>4375</v>
      </c>
      <c r="AX19" s="28">
        <v>0</v>
      </c>
      <c r="AZ19" s="255">
        <v>0.08</v>
      </c>
      <c r="BA19" s="28">
        <f>($B19*AZ19)*(1+$B$5)</f>
        <v>7000</v>
      </c>
      <c r="BB19" s="28">
        <f>$C19*BA19*(1+$B$5)</f>
        <v>3062.5</v>
      </c>
      <c r="BD19" s="255">
        <v>0.08</v>
      </c>
      <c r="BE19" s="28">
        <f>($B19*BD19)*(1+$B$5)</f>
        <v>7000</v>
      </c>
      <c r="BF19" s="28">
        <f>$C19*BE19*(1+$B$5)</f>
        <v>3062.5</v>
      </c>
      <c r="BH19" s="255">
        <v>0.08</v>
      </c>
      <c r="BI19" s="28">
        <f>($B19*BH19)*(1+$B$5)</f>
        <v>7000</v>
      </c>
      <c r="BJ19" s="28">
        <f>$C19*BI19*(1+$B$5)</f>
        <v>3062.5</v>
      </c>
      <c r="BL19" s="255">
        <v>0.08</v>
      </c>
      <c r="BM19" s="28">
        <f>($B19*BL19)*(1+$B$5)</f>
        <v>7000</v>
      </c>
      <c r="BN19" s="28">
        <f>$C19*BM19*(1+$B$5)</f>
        <v>3062.5</v>
      </c>
      <c r="BP19" s="255">
        <v>0.08</v>
      </c>
      <c r="BQ19" s="28">
        <f>($B19*BP19)*(1+$B$5)</f>
        <v>7000</v>
      </c>
      <c r="BR19" s="28">
        <f>$C19*BQ19*(1+$B$5)</f>
        <v>3062.5</v>
      </c>
      <c r="BT19" s="255">
        <v>0.08</v>
      </c>
      <c r="BU19" s="28">
        <f>($B19*BT19)*(1+$B$5)</f>
        <v>7000</v>
      </c>
      <c r="BV19" s="28">
        <f>$C19*BU19*(1+$B$5)</f>
        <v>3062.5</v>
      </c>
      <c r="BX19" s="255">
        <v>0.5</v>
      </c>
      <c r="BY19" s="6">
        <f>(B19*BX19)*(1+$B$5)</f>
        <v>43750</v>
      </c>
      <c r="BZ19" s="28">
        <f>$C19*BY19*(1+$B$5)</f>
        <v>19140.624999999996</v>
      </c>
      <c r="CB19" s="264">
        <v>1</v>
      </c>
      <c r="CC19" s="3">
        <f>(B19*CB19)*(1+$B$5)</f>
        <v>87500</v>
      </c>
      <c r="CD19" s="26">
        <f>CC19*C19*(1+$B$5)</f>
        <v>38281.24999999999</v>
      </c>
      <c r="CF19" s="264">
        <v>1</v>
      </c>
      <c r="CG19" s="3">
        <f>CF19*B19*(1+$CF$5)*(1+$B$5)</f>
        <v>91875</v>
      </c>
      <c r="CH19" s="3">
        <f>CG19*C19*(1+$B$5)</f>
        <v>40195.31249999999</v>
      </c>
      <c r="CJ19" s="264">
        <v>2</v>
      </c>
      <c r="CK19" s="3">
        <f>CJ19*B19*(1+$CJ$5+$CF$5)*(1+$B$5)</f>
        <v>192500</v>
      </c>
      <c r="CL19" s="3">
        <f>CK19*C19*(1+$B$5)</f>
        <v>84218.75</v>
      </c>
    </row>
    <row r="20" spans="1:90" s="3" customFormat="1" ht="12.75">
      <c r="A20" s="3" t="s">
        <v>201</v>
      </c>
      <c r="B20" s="168">
        <v>45000</v>
      </c>
      <c r="C20" s="167">
        <v>0.1</v>
      </c>
      <c r="D20" s="255">
        <v>0</v>
      </c>
      <c r="E20" s="28">
        <f>($B20*D20)*(1+$B$5)</f>
        <v>0</v>
      </c>
      <c r="F20" s="28">
        <v>0</v>
      </c>
      <c r="H20" s="255">
        <v>0</v>
      </c>
      <c r="I20" s="28">
        <f>($B20*H20)*(1+$B$5)</f>
        <v>0</v>
      </c>
      <c r="J20" s="28">
        <v>0</v>
      </c>
      <c r="L20" s="255">
        <v>0</v>
      </c>
      <c r="M20" s="28">
        <f>($B20*L20)*(1+$B$5)</f>
        <v>0</v>
      </c>
      <c r="N20" s="28">
        <v>0</v>
      </c>
      <c r="P20" s="255">
        <v>0</v>
      </c>
      <c r="Q20" s="28">
        <f>($B20*P20)*(1+$B$5)</f>
        <v>0</v>
      </c>
      <c r="R20" s="28">
        <v>0</v>
      </c>
      <c r="T20" s="255">
        <v>0</v>
      </c>
      <c r="U20" s="28">
        <f>($B20*T20)*(1+$B$5)</f>
        <v>0</v>
      </c>
      <c r="V20" s="28">
        <v>0</v>
      </c>
      <c r="X20" s="255">
        <v>0</v>
      </c>
      <c r="Y20" s="28">
        <f>($B20*X20)*(1+$B$5)</f>
        <v>0</v>
      </c>
      <c r="Z20" s="28">
        <v>0</v>
      </c>
      <c r="AB20" s="255">
        <v>0</v>
      </c>
      <c r="AC20" s="28">
        <f>($B20*AB20)*(1+$B$5)</f>
        <v>0</v>
      </c>
      <c r="AD20" s="28">
        <v>0</v>
      </c>
      <c r="AF20" s="255">
        <v>0</v>
      </c>
      <c r="AG20" s="28">
        <f>($B20*AF20)*(1+$B$5)</f>
        <v>0</v>
      </c>
      <c r="AH20" s="28">
        <v>0</v>
      </c>
      <c r="AJ20" s="255">
        <v>0</v>
      </c>
      <c r="AK20" s="28">
        <f>($B20*AJ20)*(1+$B$5)</f>
        <v>0</v>
      </c>
      <c r="AL20" s="28">
        <v>0</v>
      </c>
      <c r="AN20" s="255">
        <v>0</v>
      </c>
      <c r="AO20" s="28">
        <f>($B20*AN20)*(1+$B$5)</f>
        <v>0</v>
      </c>
      <c r="AP20" s="28">
        <v>0</v>
      </c>
      <c r="AR20" s="255">
        <v>0</v>
      </c>
      <c r="AS20" s="28">
        <f>($B20*AR20)*(1+$B$5)</f>
        <v>0</v>
      </c>
      <c r="AT20" s="28">
        <v>0</v>
      </c>
      <c r="AV20" s="255">
        <v>0</v>
      </c>
      <c r="AW20" s="28">
        <f>($B20*AV20)*(1+$B$5)</f>
        <v>0</v>
      </c>
      <c r="AX20" s="28">
        <v>0</v>
      </c>
      <c r="AZ20" s="255">
        <v>0</v>
      </c>
      <c r="BA20" s="28">
        <f>($B20*AZ20)*(1+$B$5)</f>
        <v>0</v>
      </c>
      <c r="BB20" s="28">
        <f>$C20*BA20*(1+$B$5)</f>
        <v>0</v>
      </c>
      <c r="BD20" s="255">
        <v>0</v>
      </c>
      <c r="BE20" s="28">
        <f>($B20*BD20)*(1+$B$5)</f>
        <v>0</v>
      </c>
      <c r="BF20" s="28">
        <f>$C20*BE20*(1+$B$5)</f>
        <v>0</v>
      </c>
      <c r="BH20" s="255">
        <v>0</v>
      </c>
      <c r="BI20" s="28">
        <f>($B20*BH20)*(1+$B$5)</f>
        <v>0</v>
      </c>
      <c r="BJ20" s="28">
        <f>$C20*BI20*(1+$B$5)</f>
        <v>0</v>
      </c>
      <c r="BL20" s="255">
        <v>0</v>
      </c>
      <c r="BM20" s="28">
        <f>($B20*BL20)*(1+$B$5)</f>
        <v>0</v>
      </c>
      <c r="BN20" s="28">
        <f>$C20*BM20*(1+$B$5)</f>
        <v>0</v>
      </c>
      <c r="BP20" s="255">
        <v>0</v>
      </c>
      <c r="BQ20" s="28">
        <f>($B20*BP20)*(1+$B$5)</f>
        <v>0</v>
      </c>
      <c r="BR20" s="28">
        <f>$C20*BQ20*(1+$B$5)</f>
        <v>0</v>
      </c>
      <c r="BT20" s="255">
        <v>0</v>
      </c>
      <c r="BU20" s="28">
        <f>($B20*BT20)*(1+$B$5)</f>
        <v>0</v>
      </c>
      <c r="BV20" s="28">
        <f>$C20*BU20*(1+$B$5)</f>
        <v>0</v>
      </c>
      <c r="BX20" s="255">
        <v>0</v>
      </c>
      <c r="BY20" s="6">
        <f>(B20*BX20)*(1+$B$5)</f>
        <v>0</v>
      </c>
      <c r="BZ20" s="28">
        <f>$C20*BY20*(1+$B$5)</f>
        <v>0</v>
      </c>
      <c r="CB20" s="264">
        <v>0</v>
      </c>
      <c r="CC20" s="3">
        <f>(B20*CB20)*(1+$B$5)</f>
        <v>0</v>
      </c>
      <c r="CD20" s="26">
        <f>CC20*C20*(1+$B$5)</f>
        <v>0</v>
      </c>
      <c r="CF20" s="264">
        <v>1</v>
      </c>
      <c r="CG20" s="3">
        <f>CF20*B20*(1+$CF$5)*(1+$B$5)</f>
        <v>59062.5</v>
      </c>
      <c r="CH20" s="3">
        <f>CG20*C20*(1+$B$5)</f>
        <v>7382.8125</v>
      </c>
      <c r="CJ20" s="264">
        <v>2</v>
      </c>
      <c r="CK20" s="3">
        <f>CJ20*B20*(1+$CJ$5+$CF$5)*(1+$B$5)</f>
        <v>123750.00000000001</v>
      </c>
      <c r="CL20" s="3">
        <f>CK20*C20*(1+$B$5)</f>
        <v>15468.750000000002</v>
      </c>
    </row>
    <row r="21" spans="1:90" s="170" customFormat="1" ht="12.75">
      <c r="A21" s="170" t="s">
        <v>202</v>
      </c>
      <c r="B21" s="247">
        <v>45000</v>
      </c>
      <c r="C21" s="248"/>
      <c r="D21" s="256">
        <v>0</v>
      </c>
      <c r="E21" s="203">
        <f>($B21*D21)*(1+$B$5)</f>
        <v>0</v>
      </c>
      <c r="F21" s="203">
        <v>0</v>
      </c>
      <c r="G21" s="95"/>
      <c r="H21" s="256">
        <v>0</v>
      </c>
      <c r="I21" s="203">
        <f>($B21*H21)*(1+$B$5)</f>
        <v>0</v>
      </c>
      <c r="J21" s="203">
        <v>0</v>
      </c>
      <c r="K21" s="95"/>
      <c r="L21" s="256">
        <v>0</v>
      </c>
      <c r="M21" s="203">
        <f>($B21*L21)*(1+$B$5)</f>
        <v>0</v>
      </c>
      <c r="N21" s="203">
        <v>0</v>
      </c>
      <c r="O21" s="95"/>
      <c r="P21" s="256">
        <v>0</v>
      </c>
      <c r="Q21" s="203">
        <f>($B21*P21)*(1+$B$5)</f>
        <v>0</v>
      </c>
      <c r="R21" s="203">
        <v>0</v>
      </c>
      <c r="S21" s="95"/>
      <c r="T21" s="256">
        <v>0</v>
      </c>
      <c r="U21" s="203">
        <f>($B21*T21)*(1+$B$5)</f>
        <v>0</v>
      </c>
      <c r="V21" s="203">
        <v>0</v>
      </c>
      <c r="W21" s="95"/>
      <c r="X21" s="256">
        <v>0</v>
      </c>
      <c r="Y21" s="203">
        <f>($B21*X21)*(1+$B$5)</f>
        <v>0</v>
      </c>
      <c r="Z21" s="203">
        <v>0</v>
      </c>
      <c r="AA21" s="95"/>
      <c r="AB21" s="256">
        <v>0</v>
      </c>
      <c r="AC21" s="203">
        <f>($B21*AB21)*(1+$B$5)</f>
        <v>0</v>
      </c>
      <c r="AD21" s="203">
        <v>0</v>
      </c>
      <c r="AE21" s="95"/>
      <c r="AF21" s="256">
        <v>0</v>
      </c>
      <c r="AG21" s="203">
        <f>($B21*AF21)*(1+$B$5)</f>
        <v>0</v>
      </c>
      <c r="AH21" s="203">
        <v>0</v>
      </c>
      <c r="AI21" s="95"/>
      <c r="AJ21" s="256">
        <v>0</v>
      </c>
      <c r="AK21" s="203">
        <f>($B21*AJ21)*(1+$B$5)</f>
        <v>0</v>
      </c>
      <c r="AL21" s="203">
        <v>0</v>
      </c>
      <c r="AM21" s="95"/>
      <c r="AN21" s="256">
        <v>0</v>
      </c>
      <c r="AO21" s="203">
        <f>($B21*AN21)*(1+$B$5)</f>
        <v>0</v>
      </c>
      <c r="AP21" s="203">
        <v>0</v>
      </c>
      <c r="AQ21" s="95"/>
      <c r="AR21" s="256">
        <v>0</v>
      </c>
      <c r="AS21" s="203">
        <f>($B21*AR21)*(1+$B$5)</f>
        <v>0</v>
      </c>
      <c r="AT21" s="203">
        <v>0</v>
      </c>
      <c r="AU21" s="95"/>
      <c r="AV21" s="256">
        <v>0</v>
      </c>
      <c r="AW21" s="203">
        <f>($B21*AV21)*(1+$B$5)</f>
        <v>0</v>
      </c>
      <c r="AX21" s="203">
        <v>0</v>
      </c>
      <c r="AY21" s="95"/>
      <c r="AZ21" s="256">
        <v>0</v>
      </c>
      <c r="BA21" s="203">
        <f>($B21*AZ21)*(1+$B$5)</f>
        <v>0</v>
      </c>
      <c r="BB21" s="203">
        <f>$C21*BA21*(1+$B$5)</f>
        <v>0</v>
      </c>
      <c r="BC21" s="95"/>
      <c r="BD21" s="256">
        <v>0</v>
      </c>
      <c r="BE21" s="203">
        <f>($B21*BD21)*(1+$B$5)</f>
        <v>0</v>
      </c>
      <c r="BF21" s="203">
        <f>$C21*BE21*(1+$B$5)</f>
        <v>0</v>
      </c>
      <c r="BG21" s="95"/>
      <c r="BH21" s="256">
        <v>0</v>
      </c>
      <c r="BI21" s="203">
        <f>($B21*BH21)*(1+$B$5)</f>
        <v>0</v>
      </c>
      <c r="BJ21" s="203">
        <f>$C21*BI21*(1+$B$5)</f>
        <v>0</v>
      </c>
      <c r="BK21" s="95"/>
      <c r="BL21" s="256">
        <v>0</v>
      </c>
      <c r="BM21" s="203">
        <f>($B21*BL21)*(1+$B$5)</f>
        <v>0</v>
      </c>
      <c r="BN21" s="203">
        <f>$C21*BM21*(1+$B$5)</f>
        <v>0</v>
      </c>
      <c r="BO21" s="95"/>
      <c r="BP21" s="256">
        <v>0</v>
      </c>
      <c r="BQ21" s="203">
        <f>($B21*BP21)*(1+$B$5)</f>
        <v>0</v>
      </c>
      <c r="BR21" s="203">
        <f>$C21*BQ21*(1+$B$5)</f>
        <v>0</v>
      </c>
      <c r="BS21" s="95"/>
      <c r="BT21" s="256">
        <v>0</v>
      </c>
      <c r="BU21" s="203">
        <f>($B21*BT21)*(1+$B$5)</f>
        <v>0</v>
      </c>
      <c r="BV21" s="203">
        <f>$C21*BU21*(1+$B$5)</f>
        <v>0</v>
      </c>
      <c r="BW21" s="95"/>
      <c r="BX21" s="256">
        <v>0</v>
      </c>
      <c r="BY21" s="170">
        <f>(B21*BX21)*(1+$B$5)</f>
        <v>0</v>
      </c>
      <c r="BZ21" s="203">
        <f>$C21*BY21*(1+$B$5)</f>
        <v>0</v>
      </c>
      <c r="CA21" s="95"/>
      <c r="CB21" s="265">
        <v>0</v>
      </c>
      <c r="CC21" s="170">
        <f>(B21*CB21)*(1+$B$5)</f>
        <v>0</v>
      </c>
      <c r="CD21" s="194">
        <f>CC21*C21*(1+$B$5)</f>
        <v>0</v>
      </c>
      <c r="CE21" s="95"/>
      <c r="CF21" s="265">
        <v>1</v>
      </c>
      <c r="CG21" s="170">
        <f>CF21*B21*(1+$CF$5)*(1+$B$5)</f>
        <v>59062.5</v>
      </c>
      <c r="CH21" s="170">
        <f>CG21*C21*(1+$B$5)</f>
        <v>0</v>
      </c>
      <c r="CI21" s="95"/>
      <c r="CJ21" s="265">
        <v>1</v>
      </c>
      <c r="CK21" s="170">
        <f>CJ21*B21*(1+$CJ$5+$CF$5)*(1+$B$5)</f>
        <v>61875.00000000001</v>
      </c>
      <c r="CL21" s="170">
        <f>CK21*C21*(1+$B$5)</f>
        <v>0</v>
      </c>
    </row>
    <row r="22" spans="2:90" s="3" customFormat="1" ht="12.75">
      <c r="B22" s="166"/>
      <c r="C22" s="167"/>
      <c r="D22" s="257">
        <f>SUM(D18:D21)</f>
        <v>0</v>
      </c>
      <c r="E22" s="22">
        <f>SUM(E18:E21)</f>
        <v>0</v>
      </c>
      <c r="F22" s="22">
        <f>SUM(F18:F21)</f>
        <v>0</v>
      </c>
      <c r="G22" s="22"/>
      <c r="H22" s="257">
        <f>SUM(H18:H21)</f>
        <v>0.03</v>
      </c>
      <c r="I22" s="22">
        <f>SUM(I18:I21)</f>
        <v>2625</v>
      </c>
      <c r="J22" s="22">
        <f>SUM(J18:J21)</f>
        <v>0</v>
      </c>
      <c r="K22" s="22"/>
      <c r="L22" s="257">
        <f>SUM(L18:L21)</f>
        <v>0.03</v>
      </c>
      <c r="M22" s="22">
        <f>SUM(M18:M21)</f>
        <v>2625</v>
      </c>
      <c r="N22" s="22">
        <f>SUM(N18:N21)</f>
        <v>0</v>
      </c>
      <c r="O22" s="22"/>
      <c r="P22" s="257">
        <f>SUM(P18:P21)</f>
        <v>0.03</v>
      </c>
      <c r="Q22" s="22">
        <f>SUM(Q18:Q21)</f>
        <v>2625</v>
      </c>
      <c r="R22" s="22">
        <f>SUM(R18:R21)</f>
        <v>0</v>
      </c>
      <c r="S22" s="22"/>
      <c r="T22" s="257">
        <f>SUM(T18:T21)</f>
        <v>0.03</v>
      </c>
      <c r="U22" s="22">
        <f>SUM(U18:U21)</f>
        <v>2625</v>
      </c>
      <c r="V22" s="22">
        <f>SUM(V18:V21)</f>
        <v>0</v>
      </c>
      <c r="W22" s="22"/>
      <c r="X22" s="257">
        <f>SUM(X18:X21)</f>
        <v>0.03</v>
      </c>
      <c r="Y22" s="22">
        <f>SUM(Y18:Y21)</f>
        <v>2625</v>
      </c>
      <c r="Z22" s="22">
        <f>SUM(Z18:Z21)</f>
        <v>0</v>
      </c>
      <c r="AA22" s="22"/>
      <c r="AB22" s="257">
        <f>SUM(AB18:AB21)</f>
        <v>0.03</v>
      </c>
      <c r="AC22" s="22">
        <f>SUM(AC18:AC21)</f>
        <v>2625</v>
      </c>
      <c r="AD22" s="22">
        <f>SUM(AD18:AD21)</f>
        <v>0</v>
      </c>
      <c r="AE22" s="22"/>
      <c r="AF22" s="257">
        <f>SUM(AF18:AF21)</f>
        <v>0.03</v>
      </c>
      <c r="AG22" s="22">
        <f>SUM(AG18:AG21)</f>
        <v>2625</v>
      </c>
      <c r="AH22" s="22">
        <f>SUM(AH18:AH21)</f>
        <v>0</v>
      </c>
      <c r="AI22" s="22"/>
      <c r="AJ22" s="257">
        <f>SUM(AJ18:AJ21)</f>
        <v>0.03</v>
      </c>
      <c r="AK22" s="22">
        <f>SUM(AK18:AK21)</f>
        <v>2625</v>
      </c>
      <c r="AL22" s="22">
        <f>SUM(AL18:AL21)</f>
        <v>0</v>
      </c>
      <c r="AM22" s="22"/>
      <c r="AN22" s="257">
        <f>SUM(AN18:AN21)</f>
        <v>0.05</v>
      </c>
      <c r="AO22" s="22">
        <f>SUM(AO18:AO21)</f>
        <v>4375</v>
      </c>
      <c r="AP22" s="22">
        <f>SUM(AP18:AP21)</f>
        <v>0</v>
      </c>
      <c r="AQ22" s="22"/>
      <c r="AR22" s="257">
        <f>SUM(AR18:AR21)</f>
        <v>0.05</v>
      </c>
      <c r="AS22" s="22">
        <f>SUM(AS18:AS21)</f>
        <v>4375</v>
      </c>
      <c r="AT22" s="22">
        <f>SUM(AT18:AT21)</f>
        <v>0</v>
      </c>
      <c r="AU22" s="22"/>
      <c r="AV22" s="257">
        <f>SUM(AV18:AV21)</f>
        <v>0.05</v>
      </c>
      <c r="AW22" s="22">
        <f>SUM(AW18:AW21)</f>
        <v>4375</v>
      </c>
      <c r="AX22" s="22">
        <f>SUM(AX18:AX21)</f>
        <v>0</v>
      </c>
      <c r="AY22" s="22"/>
      <c r="AZ22" s="257">
        <f>SUM(AZ18:AZ21)</f>
        <v>0.08</v>
      </c>
      <c r="BA22" s="22">
        <f>SUM(BA18:BA21)</f>
        <v>7000</v>
      </c>
      <c r="BB22" s="22">
        <f>SUM(BB18:BB21)</f>
        <v>3062.5</v>
      </c>
      <c r="BC22" s="22"/>
      <c r="BD22" s="257">
        <f>SUM(BD18:BD21)</f>
        <v>0.08</v>
      </c>
      <c r="BE22" s="22">
        <f>SUM(BE18:BE21)</f>
        <v>7000</v>
      </c>
      <c r="BF22" s="22">
        <f>SUM(BF18:BF21)</f>
        <v>3062.5</v>
      </c>
      <c r="BG22" s="22"/>
      <c r="BH22" s="257">
        <f>SUM(BH18:BH21)</f>
        <v>0.08</v>
      </c>
      <c r="BI22" s="22">
        <f>SUM(BI18:BI21)</f>
        <v>7000</v>
      </c>
      <c r="BJ22" s="22">
        <f>SUM(BJ18:BJ21)</f>
        <v>3062.5</v>
      </c>
      <c r="BK22" s="22"/>
      <c r="BL22" s="257">
        <f>SUM(BL18:BL21)</f>
        <v>0.08</v>
      </c>
      <c r="BM22" s="22">
        <f>SUM(BM18:BM21)</f>
        <v>7000</v>
      </c>
      <c r="BN22" s="22">
        <f>SUM(BN18:BN21)</f>
        <v>3062.5</v>
      </c>
      <c r="BO22" s="22"/>
      <c r="BP22" s="257">
        <f>SUM(BP18:BP21)</f>
        <v>0.08</v>
      </c>
      <c r="BQ22" s="22">
        <f>SUM(BQ18:BQ21)</f>
        <v>7000</v>
      </c>
      <c r="BR22" s="22">
        <f>SUM(BR18:BR21)</f>
        <v>3062.5</v>
      </c>
      <c r="BS22" s="22"/>
      <c r="BT22" s="257">
        <f>SUM(BT18:BT21)</f>
        <v>0.08</v>
      </c>
      <c r="BU22" s="22">
        <f>SUM(BU18:BU21)</f>
        <v>7000</v>
      </c>
      <c r="BV22" s="22">
        <f>SUM(BV18:BV21)</f>
        <v>3062.5</v>
      </c>
      <c r="BW22" s="22"/>
      <c r="BX22" s="257">
        <f>SUM(BX18:BX21)</f>
        <v>0.5</v>
      </c>
      <c r="BY22" s="267">
        <f>SUM(BY18:BY21)</f>
        <v>43750</v>
      </c>
      <c r="BZ22" s="22">
        <f>SUM(BZ18:BZ21)</f>
        <v>19140.624999999996</v>
      </c>
      <c r="CA22" s="22"/>
      <c r="CB22" s="262">
        <f>SUM(CB18:CB21)</f>
        <v>2</v>
      </c>
      <c r="CC22" s="22">
        <f>SUM(CC18:CC21)</f>
        <v>212500</v>
      </c>
      <c r="CD22" s="22">
        <f>SUM(CD18:CD21)</f>
        <v>116406.25</v>
      </c>
      <c r="CE22" s="22"/>
      <c r="CF22" s="262">
        <f>SUM(CF18:CF21)</f>
        <v>4</v>
      </c>
      <c r="CG22" s="22">
        <f>SUM(CG18:CG21)</f>
        <v>341250</v>
      </c>
      <c r="CH22" s="22">
        <f>SUM(CH18:CH21)</f>
        <v>129609.375</v>
      </c>
      <c r="CI22" s="22"/>
      <c r="CJ22" s="262">
        <f>SUM(CJ18:CJ21)</f>
        <v>6</v>
      </c>
      <c r="CK22" s="22">
        <f>SUM(CK18:CK21)</f>
        <v>515625</v>
      </c>
      <c r="CL22" s="22">
        <f>SUM(CL18:CL21)</f>
        <v>185625</v>
      </c>
    </row>
    <row r="23" spans="2:90" s="3" customFormat="1" ht="12.75">
      <c r="B23" s="166"/>
      <c r="C23" s="167"/>
      <c r="D23" s="257"/>
      <c r="E23" s="22"/>
      <c r="F23" s="22"/>
      <c r="G23" s="22"/>
      <c r="H23" s="257"/>
      <c r="I23" s="22"/>
      <c r="J23" s="22"/>
      <c r="K23" s="22"/>
      <c r="L23" s="257"/>
      <c r="M23" s="22"/>
      <c r="N23" s="22"/>
      <c r="O23" s="22"/>
      <c r="P23" s="257"/>
      <c r="Q23" s="22"/>
      <c r="R23" s="22"/>
      <c r="S23" s="22"/>
      <c r="T23" s="257"/>
      <c r="U23" s="22"/>
      <c r="V23" s="22"/>
      <c r="W23" s="22"/>
      <c r="X23" s="257"/>
      <c r="Y23" s="22"/>
      <c r="Z23" s="22"/>
      <c r="AA23" s="22"/>
      <c r="AB23" s="257"/>
      <c r="AC23" s="22"/>
      <c r="AD23" s="22"/>
      <c r="AE23" s="22"/>
      <c r="AF23" s="257"/>
      <c r="AG23" s="22"/>
      <c r="AH23" s="22"/>
      <c r="AI23" s="22"/>
      <c r="AJ23" s="257"/>
      <c r="AK23" s="22"/>
      <c r="AL23" s="22"/>
      <c r="AM23" s="22"/>
      <c r="AN23" s="257"/>
      <c r="AO23" s="22"/>
      <c r="AP23" s="22"/>
      <c r="AQ23" s="22"/>
      <c r="AR23" s="257"/>
      <c r="AS23" s="22"/>
      <c r="AT23" s="22"/>
      <c r="AU23" s="22"/>
      <c r="AV23" s="257"/>
      <c r="AW23" s="22"/>
      <c r="AX23" s="22"/>
      <c r="AY23" s="22"/>
      <c r="AZ23" s="257"/>
      <c r="BA23" s="22"/>
      <c r="BB23" s="22"/>
      <c r="BC23" s="22"/>
      <c r="BD23" s="257"/>
      <c r="BE23" s="22"/>
      <c r="BF23" s="22"/>
      <c r="BG23" s="22"/>
      <c r="BH23" s="257"/>
      <c r="BI23" s="22"/>
      <c r="BJ23" s="22"/>
      <c r="BK23" s="22"/>
      <c r="BL23" s="257"/>
      <c r="BM23" s="22"/>
      <c r="BN23" s="22"/>
      <c r="BO23" s="22"/>
      <c r="BP23" s="257"/>
      <c r="BQ23" s="22"/>
      <c r="BR23" s="22"/>
      <c r="BS23" s="22"/>
      <c r="BT23" s="257"/>
      <c r="BU23" s="22"/>
      <c r="BV23" s="22"/>
      <c r="BW23" s="22"/>
      <c r="BX23" s="257"/>
      <c r="BY23" s="267"/>
      <c r="BZ23" s="22"/>
      <c r="CA23" s="22"/>
      <c r="CB23" s="262"/>
      <c r="CC23" s="22"/>
      <c r="CD23" s="22"/>
      <c r="CE23" s="22"/>
      <c r="CF23" s="262"/>
      <c r="CG23" s="22"/>
      <c r="CH23" s="22"/>
      <c r="CI23" s="22"/>
      <c r="CJ23" s="262"/>
      <c r="CK23" s="22"/>
      <c r="CL23" s="22"/>
    </row>
    <row r="24" spans="2:90" s="3" customFormat="1" ht="12.75">
      <c r="B24" s="166"/>
      <c r="C24" s="167"/>
      <c r="D24" s="257"/>
      <c r="E24" s="22"/>
      <c r="F24" s="22"/>
      <c r="G24" s="22"/>
      <c r="H24" s="257"/>
      <c r="I24" s="22"/>
      <c r="J24" s="22"/>
      <c r="K24" s="22"/>
      <c r="L24" s="257"/>
      <c r="M24" s="22"/>
      <c r="N24" s="22"/>
      <c r="O24" s="22"/>
      <c r="P24" s="257"/>
      <c r="Q24" s="22"/>
      <c r="R24" s="22"/>
      <c r="S24" s="22"/>
      <c r="T24" s="257"/>
      <c r="U24" s="22"/>
      <c r="V24" s="22"/>
      <c r="W24" s="22"/>
      <c r="X24" s="257"/>
      <c r="Y24" s="22"/>
      <c r="Z24" s="22"/>
      <c r="AA24" s="22"/>
      <c r="AB24" s="257"/>
      <c r="AC24" s="22"/>
      <c r="AD24" s="22"/>
      <c r="AE24" s="22"/>
      <c r="AF24" s="257"/>
      <c r="AG24" s="22"/>
      <c r="AH24" s="22"/>
      <c r="AI24" s="22"/>
      <c r="AJ24" s="257"/>
      <c r="AK24" s="22"/>
      <c r="AL24" s="22"/>
      <c r="AM24" s="22"/>
      <c r="AN24" s="257"/>
      <c r="AO24" s="22"/>
      <c r="AP24" s="22"/>
      <c r="AQ24" s="22"/>
      <c r="AR24" s="257"/>
      <c r="AS24" s="22"/>
      <c r="AT24" s="22"/>
      <c r="AU24" s="22"/>
      <c r="AV24" s="257"/>
      <c r="AW24" s="22"/>
      <c r="AX24" s="22"/>
      <c r="AY24" s="22"/>
      <c r="AZ24" s="257"/>
      <c r="BA24" s="22"/>
      <c r="BB24" s="22"/>
      <c r="BC24" s="22"/>
      <c r="BD24" s="257"/>
      <c r="BE24" s="22"/>
      <c r="BF24" s="22"/>
      <c r="BG24" s="22"/>
      <c r="BH24" s="257"/>
      <c r="BI24" s="22"/>
      <c r="BJ24" s="22"/>
      <c r="BK24" s="22"/>
      <c r="BL24" s="257"/>
      <c r="BM24" s="22"/>
      <c r="BN24" s="22"/>
      <c r="BO24" s="22"/>
      <c r="BP24" s="257"/>
      <c r="BQ24" s="22"/>
      <c r="BR24" s="22"/>
      <c r="BS24" s="22"/>
      <c r="BT24" s="257"/>
      <c r="BU24" s="22"/>
      <c r="BV24" s="22"/>
      <c r="BW24" s="22"/>
      <c r="BX24" s="257"/>
      <c r="BY24" s="267"/>
      <c r="BZ24" s="22"/>
      <c r="CA24" s="22"/>
      <c r="CB24" s="262"/>
      <c r="CC24" s="22"/>
      <c r="CD24" s="22"/>
      <c r="CE24" s="22"/>
      <c r="CF24" s="262"/>
      <c r="CG24" s="22"/>
      <c r="CH24" s="22"/>
      <c r="CI24" s="22"/>
      <c r="CJ24" s="262"/>
      <c r="CK24" s="22"/>
      <c r="CL24" s="22"/>
    </row>
    <row r="25" spans="2:90" s="3" customFormat="1" ht="12.75">
      <c r="B25" s="166"/>
      <c r="C25" s="167"/>
      <c r="D25" s="257"/>
      <c r="E25" s="22"/>
      <c r="F25" s="22"/>
      <c r="G25" s="22"/>
      <c r="H25" s="257"/>
      <c r="I25" s="22"/>
      <c r="J25" s="22"/>
      <c r="K25" s="22"/>
      <c r="L25" s="257"/>
      <c r="M25" s="22"/>
      <c r="N25" s="22"/>
      <c r="O25" s="22"/>
      <c r="P25" s="257"/>
      <c r="Q25" s="22"/>
      <c r="R25" s="22"/>
      <c r="S25" s="22"/>
      <c r="T25" s="257"/>
      <c r="U25" s="22"/>
      <c r="V25" s="22"/>
      <c r="W25" s="22"/>
      <c r="X25" s="257"/>
      <c r="Y25" s="22"/>
      <c r="Z25" s="22"/>
      <c r="AA25" s="22"/>
      <c r="AB25" s="257"/>
      <c r="AC25" s="22"/>
      <c r="AD25" s="22"/>
      <c r="AE25" s="22"/>
      <c r="AF25" s="257"/>
      <c r="AG25" s="22"/>
      <c r="AH25" s="22"/>
      <c r="AI25" s="22"/>
      <c r="AJ25" s="257"/>
      <c r="AK25" s="22"/>
      <c r="AL25" s="22"/>
      <c r="AM25" s="22"/>
      <c r="AN25" s="257"/>
      <c r="AO25" s="22"/>
      <c r="AP25" s="22"/>
      <c r="AQ25" s="22"/>
      <c r="AR25" s="257"/>
      <c r="AS25" s="22"/>
      <c r="AT25" s="22"/>
      <c r="AU25" s="22"/>
      <c r="AV25" s="257"/>
      <c r="AW25" s="22"/>
      <c r="AX25" s="22"/>
      <c r="AY25" s="22"/>
      <c r="AZ25" s="257"/>
      <c r="BA25" s="22"/>
      <c r="BB25" s="22"/>
      <c r="BC25" s="22"/>
      <c r="BD25" s="257"/>
      <c r="BE25" s="22"/>
      <c r="BF25" s="22"/>
      <c r="BG25" s="22"/>
      <c r="BH25" s="257"/>
      <c r="BI25" s="22"/>
      <c r="BJ25" s="22"/>
      <c r="BK25" s="22"/>
      <c r="BL25" s="257"/>
      <c r="BM25" s="22"/>
      <c r="BN25" s="22"/>
      <c r="BO25" s="22"/>
      <c r="BP25" s="257"/>
      <c r="BQ25" s="22"/>
      <c r="BR25" s="22"/>
      <c r="BS25" s="22"/>
      <c r="BT25" s="257"/>
      <c r="BU25" s="22"/>
      <c r="BV25" s="22"/>
      <c r="BW25" s="22"/>
      <c r="BX25" s="257"/>
      <c r="BY25" s="267"/>
      <c r="BZ25" s="22"/>
      <c r="CA25" s="22"/>
      <c r="CB25" s="262"/>
      <c r="CC25" s="22"/>
      <c r="CD25" s="22"/>
      <c r="CE25" s="22"/>
      <c r="CF25" s="262"/>
      <c r="CG25" s="22"/>
      <c r="CH25" s="22"/>
      <c r="CI25" s="22"/>
      <c r="CJ25" s="262"/>
      <c r="CK25" s="22"/>
      <c r="CL25" s="22"/>
    </row>
    <row r="26" spans="1:90" s="3" customFormat="1" ht="12.75">
      <c r="A26" s="4" t="s">
        <v>237</v>
      </c>
      <c r="B26" s="166"/>
      <c r="C26" s="167"/>
      <c r="D26" s="257"/>
      <c r="E26" s="22"/>
      <c r="F26" s="22"/>
      <c r="G26" s="22"/>
      <c r="H26" s="257"/>
      <c r="I26" s="22"/>
      <c r="J26" s="22"/>
      <c r="K26" s="22"/>
      <c r="L26" s="257"/>
      <c r="M26" s="22"/>
      <c r="N26" s="22"/>
      <c r="O26" s="22"/>
      <c r="P26" s="257"/>
      <c r="Q26" s="22"/>
      <c r="R26" s="22"/>
      <c r="S26" s="22"/>
      <c r="T26" s="257"/>
      <c r="U26" s="22"/>
      <c r="V26" s="22"/>
      <c r="W26" s="22"/>
      <c r="X26" s="257"/>
      <c r="Y26" s="22"/>
      <c r="Z26" s="22"/>
      <c r="AA26" s="22"/>
      <c r="AB26" s="257"/>
      <c r="AC26" s="22"/>
      <c r="AD26" s="22"/>
      <c r="AE26" s="22"/>
      <c r="AF26" s="257"/>
      <c r="AG26" s="22"/>
      <c r="AH26" s="22"/>
      <c r="AI26" s="22"/>
      <c r="AJ26" s="257"/>
      <c r="AK26" s="22"/>
      <c r="AL26" s="22"/>
      <c r="AM26" s="22"/>
      <c r="AN26" s="257"/>
      <c r="AO26" s="22"/>
      <c r="AP26" s="22"/>
      <c r="AQ26" s="22"/>
      <c r="AR26" s="257"/>
      <c r="AS26" s="22"/>
      <c r="AT26" s="22"/>
      <c r="AU26" s="22"/>
      <c r="AV26" s="257"/>
      <c r="AW26" s="22"/>
      <c r="AX26" s="22"/>
      <c r="AY26" s="22"/>
      <c r="AZ26" s="257"/>
      <c r="BA26" s="22"/>
      <c r="BB26" s="22"/>
      <c r="BC26" s="22"/>
      <c r="BD26" s="257"/>
      <c r="BE26" s="22"/>
      <c r="BF26" s="22"/>
      <c r="BG26" s="22"/>
      <c r="BH26" s="257"/>
      <c r="BI26" s="22"/>
      <c r="BJ26" s="22"/>
      <c r="BK26" s="22"/>
      <c r="BL26" s="257"/>
      <c r="BM26" s="22"/>
      <c r="BN26" s="22"/>
      <c r="BO26" s="22"/>
      <c r="BP26" s="257"/>
      <c r="BQ26" s="22"/>
      <c r="BR26" s="22"/>
      <c r="BS26" s="22"/>
      <c r="BT26" s="257"/>
      <c r="BU26" s="22"/>
      <c r="BV26" s="22"/>
      <c r="BW26" s="22"/>
      <c r="BX26" s="257"/>
      <c r="BY26" s="267"/>
      <c r="BZ26" s="22"/>
      <c r="CA26" s="22"/>
      <c r="CB26" s="262"/>
      <c r="CC26" s="22"/>
      <c r="CD26" s="22"/>
      <c r="CE26" s="22"/>
      <c r="CF26" s="262"/>
      <c r="CG26" s="22"/>
      <c r="CH26" s="22"/>
      <c r="CI26" s="22"/>
      <c r="CJ26" s="262"/>
      <c r="CK26" s="22"/>
      <c r="CL26" s="22"/>
    </row>
    <row r="27" spans="1:90" s="3" customFormat="1" ht="12.75">
      <c r="A27" s="3" t="s">
        <v>169</v>
      </c>
      <c r="B27" s="168">
        <v>75000</v>
      </c>
      <c r="C27" s="167">
        <v>0.25</v>
      </c>
      <c r="D27" s="255">
        <v>0</v>
      </c>
      <c r="E27" s="28">
        <f>($B27*D27)*(1+$B$5)</f>
        <v>0</v>
      </c>
      <c r="F27" s="28">
        <v>0</v>
      </c>
      <c r="G27" s="22"/>
      <c r="H27" s="255">
        <v>0</v>
      </c>
      <c r="I27" s="28">
        <f>($B27*H27)*(1+$B$5)</f>
        <v>0</v>
      </c>
      <c r="J27" s="28">
        <v>0</v>
      </c>
      <c r="K27" s="22"/>
      <c r="L27" s="255">
        <v>0</v>
      </c>
      <c r="M27" s="28">
        <f>($B27*L27)*(1+$B$5)</f>
        <v>0</v>
      </c>
      <c r="N27" s="28">
        <v>0</v>
      </c>
      <c r="O27" s="22"/>
      <c r="P27" s="255">
        <v>0</v>
      </c>
      <c r="Q27" s="28">
        <f>($B27*P27)*(1+$B$5)</f>
        <v>0</v>
      </c>
      <c r="R27" s="28">
        <v>0</v>
      </c>
      <c r="S27" s="22"/>
      <c r="T27" s="255">
        <v>0</v>
      </c>
      <c r="U27" s="28">
        <f>($B27*T27)*(1+$B$5)</f>
        <v>0</v>
      </c>
      <c r="V27" s="28">
        <v>0</v>
      </c>
      <c r="W27" s="22"/>
      <c r="X27" s="255">
        <v>0</v>
      </c>
      <c r="Y27" s="28">
        <f>($B27*X27)*(1+$B$5)</f>
        <v>0</v>
      </c>
      <c r="Z27" s="28">
        <v>0</v>
      </c>
      <c r="AA27" s="22"/>
      <c r="AB27" s="255">
        <v>0</v>
      </c>
      <c r="AC27" s="28">
        <f>($B27*AB27)*(1+$B$5)</f>
        <v>0</v>
      </c>
      <c r="AD27" s="28">
        <v>0</v>
      </c>
      <c r="AE27" s="22"/>
      <c r="AF27" s="255">
        <v>0</v>
      </c>
      <c r="AG27" s="28">
        <f>($B27*AF27)*(1+$B$5)</f>
        <v>0</v>
      </c>
      <c r="AH27" s="28">
        <v>0</v>
      </c>
      <c r="AI27" s="22"/>
      <c r="AJ27" s="255">
        <v>0</v>
      </c>
      <c r="AK27" s="28">
        <f>($B27*AJ27)*(1+$B$5)</f>
        <v>0</v>
      </c>
      <c r="AL27" s="28">
        <v>0</v>
      </c>
      <c r="AM27" s="22"/>
      <c r="AN27" s="255">
        <v>0</v>
      </c>
      <c r="AO27" s="28">
        <f>($B27*AN27)*(1+$B$5)</f>
        <v>0</v>
      </c>
      <c r="AP27" s="28">
        <v>0</v>
      </c>
      <c r="AQ27" s="22"/>
      <c r="AR27" s="255">
        <v>0</v>
      </c>
      <c r="AS27" s="28">
        <f>($B27*AR27)*(1+$B$5)</f>
        <v>0</v>
      </c>
      <c r="AT27" s="28">
        <v>0</v>
      </c>
      <c r="AU27" s="22"/>
      <c r="AV27" s="255">
        <v>0</v>
      </c>
      <c r="AW27" s="28">
        <f>($B27*AV27)*(1+$B$5)</f>
        <v>0</v>
      </c>
      <c r="AX27" s="28">
        <v>0</v>
      </c>
      <c r="AY27" s="22"/>
      <c r="AZ27" s="255">
        <v>0</v>
      </c>
      <c r="BA27" s="28">
        <f>($B27*AZ27)*(1+$B$5)</f>
        <v>0</v>
      </c>
      <c r="BB27" s="28">
        <f>$C27*BA27*(1+$B$5)</f>
        <v>0</v>
      </c>
      <c r="BC27" s="22"/>
      <c r="BD27" s="255">
        <v>0</v>
      </c>
      <c r="BE27" s="28">
        <f>($B27*BD27)*(1+$B$5)</f>
        <v>0</v>
      </c>
      <c r="BF27" s="28">
        <f>$C27*BE27*(1+$B$5)</f>
        <v>0</v>
      </c>
      <c r="BG27" s="22"/>
      <c r="BH27" s="255">
        <v>0</v>
      </c>
      <c r="BI27" s="28">
        <f>($B27*BH27)*(1+$B$5)</f>
        <v>0</v>
      </c>
      <c r="BJ27" s="28">
        <f>$C27*BI27*(1+$B$5)</f>
        <v>0</v>
      </c>
      <c r="BK27" s="22"/>
      <c r="BL27" s="255">
        <v>0</v>
      </c>
      <c r="BM27" s="28">
        <f>($B27*BL27)*(1+$B$5)</f>
        <v>0</v>
      </c>
      <c r="BN27" s="28">
        <f>$C27*BM27*(1+$B$5)</f>
        <v>0</v>
      </c>
      <c r="BO27" s="22"/>
      <c r="BP27" s="255">
        <v>0</v>
      </c>
      <c r="BQ27" s="28">
        <f>($B27*BP27)*(1+$B$5)</f>
        <v>0</v>
      </c>
      <c r="BR27" s="28">
        <f>$C27*BQ27*(1+$B$5)</f>
        <v>0</v>
      </c>
      <c r="BS27" s="22"/>
      <c r="BT27" s="255">
        <v>0</v>
      </c>
      <c r="BU27" s="28">
        <f>($B27*BT27)*(1+$B$5)</f>
        <v>0</v>
      </c>
      <c r="BV27" s="28">
        <f>$C27*BU27*(1+$B$5)</f>
        <v>0</v>
      </c>
      <c r="BW27" s="22"/>
      <c r="BX27" s="255">
        <v>0</v>
      </c>
      <c r="BY27" s="6">
        <f>(B27*BX27)*(1+$B$5)</f>
        <v>0</v>
      </c>
      <c r="BZ27" s="28">
        <f>$C27*BY27*(1+$B$5)</f>
        <v>0</v>
      </c>
      <c r="CA27" s="22"/>
      <c r="CB27" s="264">
        <v>0</v>
      </c>
      <c r="CC27" s="3">
        <f>(B27*CB27)*(1+$B$5)</f>
        <v>0</v>
      </c>
      <c r="CD27" s="26">
        <f>CC27*C27*(1+$B$5)</f>
        <v>0</v>
      </c>
      <c r="CE27" s="22"/>
      <c r="CF27" s="264">
        <v>1</v>
      </c>
      <c r="CG27" s="3">
        <f>CF27*B27*(1+$CF$5)*(1+$B$5)</f>
        <v>98437.5</v>
      </c>
      <c r="CH27" s="3">
        <f>CG27*C27*(1+$B$5)</f>
        <v>30761.71875</v>
      </c>
      <c r="CI27" s="22"/>
      <c r="CJ27" s="264">
        <v>1</v>
      </c>
      <c r="CK27" s="3">
        <f>CJ27*B27*(1+$CJ$5+$CF$5)*(1+$B$5)</f>
        <v>103125</v>
      </c>
      <c r="CL27" s="3">
        <f>CK27*C27*(1+$B$5)</f>
        <v>32226.5625</v>
      </c>
    </row>
    <row r="28" spans="1:90" s="3" customFormat="1" ht="12.75">
      <c r="A28" s="3" t="s">
        <v>170</v>
      </c>
      <c r="B28" s="168">
        <v>55000</v>
      </c>
      <c r="C28" s="167"/>
      <c r="D28" s="255">
        <v>0</v>
      </c>
      <c r="E28" s="28">
        <f>($B28*D28)*(1+$B$5)</f>
        <v>0</v>
      </c>
      <c r="F28" s="28">
        <v>0</v>
      </c>
      <c r="G28" s="22"/>
      <c r="H28" s="255">
        <v>0</v>
      </c>
      <c r="I28" s="28">
        <f>($B28*H28)*(1+$B$5)</f>
        <v>0</v>
      </c>
      <c r="J28" s="28">
        <v>0</v>
      </c>
      <c r="K28" s="22"/>
      <c r="L28" s="255">
        <v>0</v>
      </c>
      <c r="M28" s="28">
        <f>($B28*L28)*(1+$B$5)</f>
        <v>0</v>
      </c>
      <c r="N28" s="28">
        <v>0</v>
      </c>
      <c r="O28" s="22"/>
      <c r="P28" s="255">
        <v>0</v>
      </c>
      <c r="Q28" s="28">
        <f>($B28*P28)*(1+$B$5)</f>
        <v>0</v>
      </c>
      <c r="R28" s="28">
        <v>0</v>
      </c>
      <c r="S28" s="22"/>
      <c r="T28" s="255">
        <v>0</v>
      </c>
      <c r="U28" s="28">
        <f>($B28*T28)*(1+$B$5)</f>
        <v>0</v>
      </c>
      <c r="V28" s="28">
        <v>0</v>
      </c>
      <c r="W28" s="22"/>
      <c r="X28" s="255">
        <v>0</v>
      </c>
      <c r="Y28" s="28">
        <f>($B28*X28)*(1+$B$5)</f>
        <v>0</v>
      </c>
      <c r="Z28" s="28">
        <v>0</v>
      </c>
      <c r="AA28" s="22"/>
      <c r="AB28" s="255">
        <v>0</v>
      </c>
      <c r="AC28" s="28">
        <f>($B28*AB28)*(1+$B$5)</f>
        <v>0</v>
      </c>
      <c r="AD28" s="28">
        <v>0</v>
      </c>
      <c r="AE28" s="22"/>
      <c r="AF28" s="255">
        <v>0</v>
      </c>
      <c r="AG28" s="28">
        <f>($B28*AF28)*(1+$B$5)</f>
        <v>0</v>
      </c>
      <c r="AH28" s="28">
        <v>0</v>
      </c>
      <c r="AI28" s="22"/>
      <c r="AJ28" s="255">
        <v>0</v>
      </c>
      <c r="AK28" s="28">
        <f>($B28*AJ28)*(1+$B$5)</f>
        <v>0</v>
      </c>
      <c r="AL28" s="28">
        <v>0</v>
      </c>
      <c r="AM28" s="22"/>
      <c r="AN28" s="255">
        <v>0</v>
      </c>
      <c r="AO28" s="28">
        <f>($B28*AN28)*(1+$B$5)</f>
        <v>0</v>
      </c>
      <c r="AP28" s="28">
        <v>0</v>
      </c>
      <c r="AQ28" s="22"/>
      <c r="AR28" s="255">
        <v>0</v>
      </c>
      <c r="AS28" s="28">
        <f>($B28*AR28)*(1+$B$5)</f>
        <v>0</v>
      </c>
      <c r="AT28" s="28">
        <v>0</v>
      </c>
      <c r="AU28" s="22"/>
      <c r="AV28" s="255">
        <v>0</v>
      </c>
      <c r="AW28" s="28">
        <f>($B28*AV28)*(1+$B$5)</f>
        <v>0</v>
      </c>
      <c r="AX28" s="28">
        <v>0</v>
      </c>
      <c r="AY28" s="22"/>
      <c r="AZ28" s="255">
        <v>0</v>
      </c>
      <c r="BA28" s="28">
        <f>($B28*AZ28)*(1+$B$5)</f>
        <v>0</v>
      </c>
      <c r="BB28" s="28">
        <f>$C28*BA28*(1+$B$5)</f>
        <v>0</v>
      </c>
      <c r="BC28" s="22"/>
      <c r="BD28" s="255">
        <v>0</v>
      </c>
      <c r="BE28" s="28">
        <f>($B28*BD28)*(1+$B$5)</f>
        <v>0</v>
      </c>
      <c r="BF28" s="28">
        <f>$C28*BE28*(1+$B$5)</f>
        <v>0</v>
      </c>
      <c r="BG28" s="22"/>
      <c r="BH28" s="255">
        <v>0</v>
      </c>
      <c r="BI28" s="28">
        <f>($B28*BH28)*(1+$B$5)</f>
        <v>0</v>
      </c>
      <c r="BJ28" s="28">
        <f>$C28*BI28*(1+$B$5)</f>
        <v>0</v>
      </c>
      <c r="BK28" s="22"/>
      <c r="BL28" s="255">
        <v>0</v>
      </c>
      <c r="BM28" s="28">
        <f>($B28*BL28)*(1+$B$5)</f>
        <v>0</v>
      </c>
      <c r="BN28" s="28">
        <f>$C28*BM28*(1+$B$5)</f>
        <v>0</v>
      </c>
      <c r="BO28" s="22"/>
      <c r="BP28" s="255">
        <v>0</v>
      </c>
      <c r="BQ28" s="28">
        <f>($B28*BP28)*(1+$B$5)</f>
        <v>0</v>
      </c>
      <c r="BR28" s="28">
        <f>$C28*BQ28*(1+$B$5)</f>
        <v>0</v>
      </c>
      <c r="BS28" s="22"/>
      <c r="BT28" s="255">
        <v>0</v>
      </c>
      <c r="BU28" s="28">
        <f>($B28*BT28)*(1+$B$5)</f>
        <v>0</v>
      </c>
      <c r="BV28" s="28">
        <f>$C28*BU28*(1+$B$5)</f>
        <v>0</v>
      </c>
      <c r="BW28" s="22"/>
      <c r="BX28" s="255">
        <v>0</v>
      </c>
      <c r="BY28" s="6">
        <f>(B28*BX28)*(1+$B$5)</f>
        <v>0</v>
      </c>
      <c r="BZ28" s="28">
        <f>$C28*BY28*(1+$B$5)</f>
        <v>0</v>
      </c>
      <c r="CA28" s="22"/>
      <c r="CB28" s="264">
        <v>0</v>
      </c>
      <c r="CC28" s="3">
        <f>(B28*CB28)*(1+$B$5)</f>
        <v>0</v>
      </c>
      <c r="CD28" s="26">
        <f>CC28*C28*(1+$B$5)</f>
        <v>0</v>
      </c>
      <c r="CE28" s="22"/>
      <c r="CF28" s="264"/>
      <c r="CG28" s="3">
        <f>CF28*B28*(1+$CF$5)*(1+$B$5)</f>
        <v>0</v>
      </c>
      <c r="CH28" s="3">
        <f>CG28*C28*(1+$B$5)</f>
        <v>0</v>
      </c>
      <c r="CI28" s="22"/>
      <c r="CJ28" s="264">
        <v>1</v>
      </c>
      <c r="CK28" s="3">
        <f>CJ28*B28*(1+$CJ$5+$CF$5)*(1+$B$5)</f>
        <v>75625.00000000001</v>
      </c>
      <c r="CL28" s="3">
        <f>CK28*C28*(1+$B$5)</f>
        <v>0</v>
      </c>
    </row>
    <row r="29" spans="1:90" s="3" customFormat="1" ht="12.75">
      <c r="A29" s="3" t="s">
        <v>14</v>
      </c>
      <c r="B29" s="168">
        <v>50000</v>
      </c>
      <c r="C29" s="167"/>
      <c r="D29" s="255">
        <v>0</v>
      </c>
      <c r="E29" s="28">
        <f>($B29*D29)*(1+$B$5)</f>
        <v>0</v>
      </c>
      <c r="F29" s="28">
        <v>0</v>
      </c>
      <c r="G29" s="22"/>
      <c r="H29" s="255">
        <v>0</v>
      </c>
      <c r="I29" s="28">
        <f>($B29*H29)*(1+$B$5)</f>
        <v>0</v>
      </c>
      <c r="J29" s="28">
        <v>0</v>
      </c>
      <c r="K29" s="22"/>
      <c r="L29" s="255">
        <v>0</v>
      </c>
      <c r="M29" s="28">
        <f>($B29*L29)*(1+$B$5)</f>
        <v>0</v>
      </c>
      <c r="N29" s="28">
        <v>0</v>
      </c>
      <c r="O29" s="22"/>
      <c r="P29" s="255">
        <v>0</v>
      </c>
      <c r="Q29" s="28">
        <f>($B29*P29)*(1+$B$5)</f>
        <v>0</v>
      </c>
      <c r="R29" s="28">
        <v>0</v>
      </c>
      <c r="S29" s="22"/>
      <c r="T29" s="255">
        <v>0</v>
      </c>
      <c r="U29" s="28">
        <f>($B29*T29)*(1+$B$5)</f>
        <v>0</v>
      </c>
      <c r="V29" s="28">
        <v>0</v>
      </c>
      <c r="W29" s="22"/>
      <c r="X29" s="255">
        <v>0</v>
      </c>
      <c r="Y29" s="28">
        <f>($B29*X29)*(1+$B$5)</f>
        <v>0</v>
      </c>
      <c r="Z29" s="28">
        <v>0</v>
      </c>
      <c r="AA29" s="22"/>
      <c r="AB29" s="255">
        <v>0</v>
      </c>
      <c r="AC29" s="28">
        <f>($B29*AB29)*(1+$B$5)</f>
        <v>0</v>
      </c>
      <c r="AD29" s="28">
        <v>0</v>
      </c>
      <c r="AE29" s="22"/>
      <c r="AF29" s="255">
        <v>0</v>
      </c>
      <c r="AG29" s="28">
        <f>($B29*AF29)*(1+$B$5)</f>
        <v>0</v>
      </c>
      <c r="AH29" s="28">
        <v>0</v>
      </c>
      <c r="AI29" s="22"/>
      <c r="AJ29" s="255">
        <v>0</v>
      </c>
      <c r="AK29" s="28">
        <f>($B29*AJ29)*(1+$B$5)</f>
        <v>0</v>
      </c>
      <c r="AL29" s="28">
        <v>0</v>
      </c>
      <c r="AM29" s="22"/>
      <c r="AN29" s="255">
        <v>0</v>
      </c>
      <c r="AO29" s="28">
        <f>($B29*AN29)*(1+$B$5)</f>
        <v>0</v>
      </c>
      <c r="AP29" s="28">
        <v>0</v>
      </c>
      <c r="AQ29" s="22"/>
      <c r="AR29" s="255">
        <v>0</v>
      </c>
      <c r="AS29" s="28">
        <f>($B29*AR29)*(1+$B$5)</f>
        <v>0</v>
      </c>
      <c r="AT29" s="28">
        <v>0</v>
      </c>
      <c r="AU29" s="22"/>
      <c r="AV29" s="255">
        <v>0</v>
      </c>
      <c r="AW29" s="28">
        <f>($B29*AV29)*(1+$B$5)</f>
        <v>0</v>
      </c>
      <c r="AX29" s="28">
        <v>0</v>
      </c>
      <c r="AY29" s="22"/>
      <c r="AZ29" s="255">
        <v>0.0833</v>
      </c>
      <c r="BA29" s="28">
        <f>($B29*AZ29)*(1+$B$5)</f>
        <v>5206.25</v>
      </c>
      <c r="BB29" s="28">
        <f>$C29*BA29*(1+$B$5)</f>
        <v>0</v>
      </c>
      <c r="BC29" s="22"/>
      <c r="BD29" s="255">
        <v>0.0833</v>
      </c>
      <c r="BE29" s="28">
        <f>($B29*BD29)*(1+$B$5)</f>
        <v>5206.25</v>
      </c>
      <c r="BF29" s="28">
        <f>$C29*BE29*(1+$B$5)</f>
        <v>0</v>
      </c>
      <c r="BG29" s="22"/>
      <c r="BH29" s="255">
        <v>0.0833</v>
      </c>
      <c r="BI29" s="28">
        <f>($B29*BH29)*(1+$B$5)</f>
        <v>5206.25</v>
      </c>
      <c r="BJ29" s="28">
        <f>$C29*BI29*(1+$B$5)</f>
        <v>0</v>
      </c>
      <c r="BK29" s="22"/>
      <c r="BL29" s="255">
        <v>0.0833</v>
      </c>
      <c r="BM29" s="28">
        <f>($B29*BL29)*(1+$B$5)</f>
        <v>5206.25</v>
      </c>
      <c r="BN29" s="28">
        <f>$C29*BM29*(1+$B$5)</f>
        <v>0</v>
      </c>
      <c r="BO29" s="22"/>
      <c r="BP29" s="255">
        <v>0.0833</v>
      </c>
      <c r="BQ29" s="28">
        <f>($B29*BP29)*(1+$B$5)</f>
        <v>5206.25</v>
      </c>
      <c r="BR29" s="28">
        <f>$C29*BQ29*(1+$B$5)</f>
        <v>0</v>
      </c>
      <c r="BS29" s="22"/>
      <c r="BT29" s="255">
        <v>0.0833</v>
      </c>
      <c r="BU29" s="28">
        <f>($B29*BT29)*(1+$B$5)</f>
        <v>5206.25</v>
      </c>
      <c r="BV29" s="28">
        <f>$C29*BU29*(1+$B$5)</f>
        <v>0</v>
      </c>
      <c r="BW29" s="22"/>
      <c r="BX29" s="255">
        <v>0.5</v>
      </c>
      <c r="BY29" s="6">
        <f>(B29*BX29)*(1+$B$5)</f>
        <v>31250</v>
      </c>
      <c r="BZ29" s="28">
        <f>$C29*BY29*(1+$B$5)</f>
        <v>0</v>
      </c>
      <c r="CA29" s="22"/>
      <c r="CB29" s="264">
        <v>1</v>
      </c>
      <c r="CC29" s="3">
        <f>(B29*CB29)*(1+$B$5)</f>
        <v>62500</v>
      </c>
      <c r="CD29" s="26">
        <f>CC29*C29*(1+$B$5)</f>
        <v>0</v>
      </c>
      <c r="CE29" s="22"/>
      <c r="CF29" s="264">
        <v>1</v>
      </c>
      <c r="CG29" s="3">
        <f>CF29*B29*(1+$CF$5)*(1+$B$5)</f>
        <v>65625</v>
      </c>
      <c r="CH29" s="3">
        <f>CG29*C29*(1+$B$5)</f>
        <v>0</v>
      </c>
      <c r="CI29" s="22"/>
      <c r="CJ29" s="264">
        <v>2</v>
      </c>
      <c r="CK29" s="3">
        <f>CJ29*B29*(1+$CJ$5+$CF$5)*(1+$B$5)</f>
        <v>137500.00000000003</v>
      </c>
      <c r="CL29" s="3">
        <f>CK29*C29*(1+$B$5)</f>
        <v>0</v>
      </c>
    </row>
    <row r="30" spans="1:90" s="170" customFormat="1" ht="12.75">
      <c r="A30" s="170" t="s">
        <v>200</v>
      </c>
      <c r="B30" s="247">
        <v>35000</v>
      </c>
      <c r="C30" s="248"/>
      <c r="D30" s="256">
        <v>0</v>
      </c>
      <c r="E30" s="203">
        <f>($B30*D30)*(1+$B$5)</f>
        <v>0</v>
      </c>
      <c r="F30" s="203">
        <v>0</v>
      </c>
      <c r="G30" s="95"/>
      <c r="H30" s="256">
        <v>0</v>
      </c>
      <c r="I30" s="203">
        <f>($B30*H30)*(1+$B$5)</f>
        <v>0</v>
      </c>
      <c r="J30" s="203">
        <v>0</v>
      </c>
      <c r="K30" s="95"/>
      <c r="L30" s="256">
        <v>0</v>
      </c>
      <c r="M30" s="203">
        <f>($B30*L30)*(1+$B$5)</f>
        <v>0</v>
      </c>
      <c r="N30" s="203">
        <v>0</v>
      </c>
      <c r="O30" s="95"/>
      <c r="P30" s="256">
        <v>0</v>
      </c>
      <c r="Q30" s="203">
        <f>($B30*P30)*(1+$B$5)</f>
        <v>0</v>
      </c>
      <c r="R30" s="203">
        <v>0</v>
      </c>
      <c r="S30" s="95"/>
      <c r="T30" s="256">
        <v>0</v>
      </c>
      <c r="U30" s="203">
        <f>($B30*T30)*(1+$B$5)</f>
        <v>0</v>
      </c>
      <c r="V30" s="203">
        <v>0</v>
      </c>
      <c r="W30" s="95"/>
      <c r="X30" s="256">
        <v>0</v>
      </c>
      <c r="Y30" s="203">
        <f>($B30*X30)*(1+$B$5)</f>
        <v>0</v>
      </c>
      <c r="Z30" s="203">
        <v>0</v>
      </c>
      <c r="AA30" s="95"/>
      <c r="AB30" s="256">
        <v>0</v>
      </c>
      <c r="AC30" s="203">
        <f>($B30*AB30)*(1+$B$5)</f>
        <v>0</v>
      </c>
      <c r="AD30" s="203">
        <v>0</v>
      </c>
      <c r="AE30" s="95"/>
      <c r="AF30" s="256">
        <v>0</v>
      </c>
      <c r="AG30" s="203">
        <f>($B30*AF30)*(1+$B$5)</f>
        <v>0</v>
      </c>
      <c r="AH30" s="203">
        <v>0</v>
      </c>
      <c r="AI30" s="95"/>
      <c r="AJ30" s="256">
        <v>0</v>
      </c>
      <c r="AK30" s="203">
        <f>($B30*AJ30)*(1+$B$5)</f>
        <v>0</v>
      </c>
      <c r="AL30" s="203">
        <v>0</v>
      </c>
      <c r="AM30" s="95"/>
      <c r="AN30" s="256">
        <v>0</v>
      </c>
      <c r="AO30" s="203">
        <f>($B30*AN30)*(1+$B$5)</f>
        <v>0</v>
      </c>
      <c r="AP30" s="203">
        <v>0</v>
      </c>
      <c r="AQ30" s="95"/>
      <c r="AR30" s="256">
        <v>0</v>
      </c>
      <c r="AS30" s="203">
        <f>($B30*AR30)*(1+$B$5)</f>
        <v>0</v>
      </c>
      <c r="AT30" s="203">
        <v>0</v>
      </c>
      <c r="AU30" s="95"/>
      <c r="AV30" s="256">
        <v>0</v>
      </c>
      <c r="AW30" s="203">
        <f>($B30*AV30)*(1+$B$5)</f>
        <v>0</v>
      </c>
      <c r="AX30" s="203">
        <v>0</v>
      </c>
      <c r="AY30" s="95"/>
      <c r="AZ30" s="256">
        <v>0</v>
      </c>
      <c r="BA30" s="203">
        <f>($B30*AZ30)*(1+$B$5)</f>
        <v>0</v>
      </c>
      <c r="BB30" s="203">
        <f>$C30*BA30*(1+$B$5)</f>
        <v>0</v>
      </c>
      <c r="BC30" s="95"/>
      <c r="BD30" s="256">
        <v>0</v>
      </c>
      <c r="BE30" s="203">
        <f>($B30*BD30)*(1+$B$5)</f>
        <v>0</v>
      </c>
      <c r="BF30" s="203">
        <f>$C30*BE30*(1+$B$5)</f>
        <v>0</v>
      </c>
      <c r="BG30" s="95"/>
      <c r="BH30" s="256">
        <v>0</v>
      </c>
      <c r="BI30" s="203">
        <f>($B30*BH30)*(1+$B$5)</f>
        <v>0</v>
      </c>
      <c r="BJ30" s="203">
        <f>$C30*BI30*(1+$B$5)</f>
        <v>0</v>
      </c>
      <c r="BK30" s="95"/>
      <c r="BL30" s="256">
        <v>0</v>
      </c>
      <c r="BM30" s="203">
        <f>($B30*BL30)*(1+$B$5)</f>
        <v>0</v>
      </c>
      <c r="BN30" s="203">
        <f>$C30*BM30*(1+$B$5)</f>
        <v>0</v>
      </c>
      <c r="BO30" s="95"/>
      <c r="BP30" s="256">
        <v>0</v>
      </c>
      <c r="BQ30" s="203">
        <f>($B30*BP30)*(1+$B$5)</f>
        <v>0</v>
      </c>
      <c r="BR30" s="203">
        <f>$C30*BQ30*(1+$B$5)</f>
        <v>0</v>
      </c>
      <c r="BS30" s="95"/>
      <c r="BT30" s="256">
        <v>0</v>
      </c>
      <c r="BU30" s="203">
        <f>($B30*BT30)*(1+$B$5)</f>
        <v>0</v>
      </c>
      <c r="BV30" s="203">
        <f>$C30*BU30*(1+$B$5)</f>
        <v>0</v>
      </c>
      <c r="BW30" s="95"/>
      <c r="BX30" s="256">
        <v>0</v>
      </c>
      <c r="BY30" s="170">
        <f>(B30*BX30)*(1+$B$5)</f>
        <v>0</v>
      </c>
      <c r="BZ30" s="203">
        <f>$C30*BY30*(1+$B$5)</f>
        <v>0</v>
      </c>
      <c r="CA30" s="95"/>
      <c r="CB30" s="265">
        <v>1</v>
      </c>
      <c r="CC30" s="170">
        <f>(B30*CB30)*(1+$B$5)</f>
        <v>43750</v>
      </c>
      <c r="CD30" s="194">
        <f>CC30*C30*(1+$B$5)</f>
        <v>0</v>
      </c>
      <c r="CE30" s="95"/>
      <c r="CF30" s="265">
        <v>2</v>
      </c>
      <c r="CG30" s="170">
        <f>CF30*B30*(1+$CF$5)*(1+$B$5)</f>
        <v>91875</v>
      </c>
      <c r="CH30" s="170">
        <f>CG30*C30*(1+$B$5)</f>
        <v>0</v>
      </c>
      <c r="CI30" s="95"/>
      <c r="CJ30" s="265">
        <v>2</v>
      </c>
      <c r="CK30" s="170">
        <f>CJ30*B30*(1+$CJ$5+$CF$5)*(1+$B$5)</f>
        <v>96250</v>
      </c>
      <c r="CL30" s="170">
        <f>CK30*C30*(1+$B$5)</f>
        <v>0</v>
      </c>
    </row>
    <row r="31" spans="2:90" s="3" customFormat="1" ht="12.75">
      <c r="B31" s="168"/>
      <c r="C31" s="167"/>
      <c r="D31" s="257">
        <f>SUM(D27:D30)</f>
        <v>0</v>
      </c>
      <c r="E31" s="22">
        <f>SUM(E27:E30)</f>
        <v>0</v>
      </c>
      <c r="F31" s="22">
        <f>SUM(F27:F30)</f>
        <v>0</v>
      </c>
      <c r="G31" s="22"/>
      <c r="H31" s="257">
        <f>SUM(H27:H30)</f>
        <v>0</v>
      </c>
      <c r="I31" s="22">
        <f>SUM(I27:I30)</f>
        <v>0</v>
      </c>
      <c r="J31" s="22">
        <f>SUM(J27:J30)</f>
        <v>0</v>
      </c>
      <c r="K31" s="22"/>
      <c r="L31" s="257">
        <f>SUM(L27:L30)</f>
        <v>0</v>
      </c>
      <c r="M31" s="22">
        <f>SUM(M27:M30)</f>
        <v>0</v>
      </c>
      <c r="N31" s="22">
        <f>SUM(N27:N30)</f>
        <v>0</v>
      </c>
      <c r="O31" s="22"/>
      <c r="P31" s="257">
        <f>SUM(P27:P30)</f>
        <v>0</v>
      </c>
      <c r="Q31" s="22">
        <f>SUM(Q27:Q30)</f>
        <v>0</v>
      </c>
      <c r="R31" s="22">
        <f>SUM(R27:R30)</f>
        <v>0</v>
      </c>
      <c r="S31" s="22"/>
      <c r="T31" s="257">
        <f>SUM(T27:T30)</f>
        <v>0</v>
      </c>
      <c r="U31" s="22">
        <f>SUM(U27:U30)</f>
        <v>0</v>
      </c>
      <c r="V31" s="22">
        <f>SUM(V27:V30)</f>
        <v>0</v>
      </c>
      <c r="W31" s="22"/>
      <c r="X31" s="257">
        <f>SUM(X27:X30)</f>
        <v>0</v>
      </c>
      <c r="Y31" s="22">
        <f>SUM(Y27:Y30)</f>
        <v>0</v>
      </c>
      <c r="Z31" s="22">
        <f>SUM(Z27:Z30)</f>
        <v>0</v>
      </c>
      <c r="AA31" s="22"/>
      <c r="AB31" s="257">
        <f>SUM(AB27:AB30)</f>
        <v>0</v>
      </c>
      <c r="AC31" s="22">
        <f>SUM(AC27:AC30)</f>
        <v>0</v>
      </c>
      <c r="AD31" s="22">
        <f>SUM(AD27:AD30)</f>
        <v>0</v>
      </c>
      <c r="AE31" s="22"/>
      <c r="AF31" s="257">
        <f>SUM(AF27:AF30)</f>
        <v>0</v>
      </c>
      <c r="AG31" s="22">
        <f>SUM(AG27:AG30)</f>
        <v>0</v>
      </c>
      <c r="AH31" s="22">
        <f>SUM(AH27:AH30)</f>
        <v>0</v>
      </c>
      <c r="AI31" s="22"/>
      <c r="AJ31" s="257">
        <f>SUM(AJ27:AJ30)</f>
        <v>0</v>
      </c>
      <c r="AK31" s="22">
        <f>SUM(AK27:AK30)</f>
        <v>0</v>
      </c>
      <c r="AL31" s="22">
        <f>SUM(AL27:AL30)</f>
        <v>0</v>
      </c>
      <c r="AM31" s="22"/>
      <c r="AN31" s="257">
        <f>SUM(AN27:AN30)</f>
        <v>0</v>
      </c>
      <c r="AO31" s="22">
        <f>SUM(AO27:AO30)</f>
        <v>0</v>
      </c>
      <c r="AP31" s="22">
        <f>SUM(AP27:AP30)</f>
        <v>0</v>
      </c>
      <c r="AQ31" s="22"/>
      <c r="AR31" s="257">
        <f>SUM(AR27:AR30)</f>
        <v>0</v>
      </c>
      <c r="AS31" s="22">
        <f>SUM(AS27:AS30)</f>
        <v>0</v>
      </c>
      <c r="AT31" s="22">
        <f>SUM(AT27:AT30)</f>
        <v>0</v>
      </c>
      <c r="AU31" s="22"/>
      <c r="AV31" s="257">
        <f>SUM(AV27:AV30)</f>
        <v>0</v>
      </c>
      <c r="AW31" s="22">
        <f>SUM(AW27:AW30)</f>
        <v>0</v>
      </c>
      <c r="AX31" s="22">
        <f>SUM(AX27:AX30)</f>
        <v>0</v>
      </c>
      <c r="AY31" s="22"/>
      <c r="AZ31" s="257">
        <f>SUM(AZ27:AZ30)</f>
        <v>0.0833</v>
      </c>
      <c r="BA31" s="22">
        <f>SUM(BA27:BA30)</f>
        <v>5206.25</v>
      </c>
      <c r="BB31" s="22">
        <f>SUM(BB27:BB30)</f>
        <v>0</v>
      </c>
      <c r="BC31" s="22"/>
      <c r="BD31" s="257">
        <f>SUM(BD27:BD30)</f>
        <v>0.0833</v>
      </c>
      <c r="BE31" s="22">
        <f>SUM(BE27:BE30)</f>
        <v>5206.25</v>
      </c>
      <c r="BF31" s="22">
        <f>SUM(BF27:BF30)</f>
        <v>0</v>
      </c>
      <c r="BG31" s="22"/>
      <c r="BH31" s="257">
        <f>SUM(BH27:BH30)</f>
        <v>0.0833</v>
      </c>
      <c r="BI31" s="22">
        <f>SUM(BI27:BI30)</f>
        <v>5206.25</v>
      </c>
      <c r="BJ31" s="22">
        <f>SUM(BJ27:BJ30)</f>
        <v>0</v>
      </c>
      <c r="BK31" s="22"/>
      <c r="BL31" s="257">
        <f>SUM(BL27:BL30)</f>
        <v>0.0833</v>
      </c>
      <c r="BM31" s="22">
        <f>SUM(BM27:BM30)</f>
        <v>5206.25</v>
      </c>
      <c r="BN31" s="22">
        <f>SUM(BN27:BN30)</f>
        <v>0</v>
      </c>
      <c r="BO31" s="22"/>
      <c r="BP31" s="257">
        <f>SUM(BP27:BP30)</f>
        <v>0.0833</v>
      </c>
      <c r="BQ31" s="22">
        <f>SUM(BQ27:BQ30)</f>
        <v>5206.25</v>
      </c>
      <c r="BR31" s="22">
        <f>SUM(BR27:BR30)</f>
        <v>0</v>
      </c>
      <c r="BS31" s="22"/>
      <c r="BT31" s="257">
        <f>SUM(BT27:BT30)</f>
        <v>0.0833</v>
      </c>
      <c r="BU31" s="22">
        <f>SUM(BU27:BU30)</f>
        <v>5206.25</v>
      </c>
      <c r="BV31" s="22">
        <f>SUM(BV27:BV30)</f>
        <v>0</v>
      </c>
      <c r="BW31" s="22"/>
      <c r="BX31" s="257">
        <f>SUM(BX27:BX30)</f>
        <v>0.5</v>
      </c>
      <c r="BY31" s="267">
        <f>SUM(BY27:BY30)</f>
        <v>31250</v>
      </c>
      <c r="BZ31" s="22">
        <f>SUM(BZ27:BZ30)</f>
        <v>0</v>
      </c>
      <c r="CA31" s="22"/>
      <c r="CB31" s="262">
        <f>SUM(CB27:CB30)</f>
        <v>2</v>
      </c>
      <c r="CC31" s="22">
        <f>SUM(CC27:CC30)</f>
        <v>106250</v>
      </c>
      <c r="CD31" s="22">
        <f>SUM(CD27:CD30)</f>
        <v>0</v>
      </c>
      <c r="CE31" s="22"/>
      <c r="CF31" s="262">
        <f>SUM(CF27:CF30)</f>
        <v>4</v>
      </c>
      <c r="CG31" s="22">
        <f>SUM(CG27:CG30)</f>
        <v>255937.5</v>
      </c>
      <c r="CH31" s="22">
        <f>SUM(CH27:CH30)</f>
        <v>30761.71875</v>
      </c>
      <c r="CI31" s="22"/>
      <c r="CJ31" s="262">
        <f>SUM(CJ27:CJ30)</f>
        <v>6</v>
      </c>
      <c r="CK31" s="22">
        <f>SUM(CK27:CK30)</f>
        <v>412500</v>
      </c>
      <c r="CL31" s="22">
        <f>SUM(CL27:CL30)</f>
        <v>32226.5625</v>
      </c>
    </row>
    <row r="32" spans="2:90" s="3" customFormat="1" ht="12.75">
      <c r="B32" s="168"/>
      <c r="C32" s="167"/>
      <c r="D32" s="257"/>
      <c r="E32" s="22"/>
      <c r="F32" s="22"/>
      <c r="G32" s="22"/>
      <c r="H32" s="257"/>
      <c r="I32" s="22"/>
      <c r="J32" s="22"/>
      <c r="K32" s="22"/>
      <c r="L32" s="257"/>
      <c r="M32" s="22"/>
      <c r="N32" s="22"/>
      <c r="O32" s="22"/>
      <c r="P32" s="257"/>
      <c r="Q32" s="22"/>
      <c r="R32" s="22"/>
      <c r="S32" s="22"/>
      <c r="T32" s="257"/>
      <c r="U32" s="22"/>
      <c r="V32" s="22"/>
      <c r="W32" s="22"/>
      <c r="X32" s="257"/>
      <c r="Y32" s="22"/>
      <c r="Z32" s="22"/>
      <c r="AA32" s="22"/>
      <c r="AB32" s="257"/>
      <c r="AC32" s="22"/>
      <c r="AD32" s="22"/>
      <c r="AE32" s="22"/>
      <c r="AF32" s="257"/>
      <c r="AG32" s="22"/>
      <c r="AH32" s="22"/>
      <c r="AI32" s="22"/>
      <c r="AJ32" s="257"/>
      <c r="AK32" s="22"/>
      <c r="AL32" s="22"/>
      <c r="AM32" s="22"/>
      <c r="AN32" s="257"/>
      <c r="AO32" s="22"/>
      <c r="AP32" s="22"/>
      <c r="AQ32" s="22"/>
      <c r="AR32" s="257"/>
      <c r="AS32" s="22"/>
      <c r="AT32" s="22"/>
      <c r="AU32" s="22"/>
      <c r="AV32" s="257"/>
      <c r="AW32" s="22"/>
      <c r="AX32" s="22"/>
      <c r="AY32" s="22"/>
      <c r="AZ32" s="257"/>
      <c r="BA32" s="22"/>
      <c r="BB32" s="22"/>
      <c r="BC32" s="22"/>
      <c r="BD32" s="257"/>
      <c r="BE32" s="22"/>
      <c r="BF32" s="22"/>
      <c r="BG32" s="22"/>
      <c r="BH32" s="257"/>
      <c r="BI32" s="22"/>
      <c r="BJ32" s="22"/>
      <c r="BK32" s="22"/>
      <c r="BL32" s="257"/>
      <c r="BM32" s="22"/>
      <c r="BN32" s="22"/>
      <c r="BO32" s="22"/>
      <c r="BP32" s="257"/>
      <c r="BQ32" s="22"/>
      <c r="BR32" s="22"/>
      <c r="BS32" s="22"/>
      <c r="BT32" s="257"/>
      <c r="BU32" s="22"/>
      <c r="BV32" s="22"/>
      <c r="BW32" s="22"/>
      <c r="BX32" s="257"/>
      <c r="BY32" s="267"/>
      <c r="BZ32" s="22"/>
      <c r="CA32" s="22"/>
      <c r="CB32" s="262"/>
      <c r="CC32" s="22"/>
      <c r="CD32" s="22"/>
      <c r="CE32" s="22"/>
      <c r="CF32" s="262"/>
      <c r="CG32" s="22"/>
      <c r="CH32" s="22"/>
      <c r="CI32" s="22"/>
      <c r="CJ32" s="262"/>
      <c r="CK32" s="22"/>
      <c r="CL32" s="22"/>
    </row>
    <row r="33" spans="2:90" s="3" customFormat="1" ht="12.75">
      <c r="B33" s="168"/>
      <c r="C33" s="167"/>
      <c r="D33" s="257"/>
      <c r="E33" s="22"/>
      <c r="F33" s="22"/>
      <c r="G33" s="22"/>
      <c r="H33" s="257"/>
      <c r="I33" s="22"/>
      <c r="J33" s="22"/>
      <c r="K33" s="22"/>
      <c r="L33" s="257"/>
      <c r="M33" s="22"/>
      <c r="N33" s="22"/>
      <c r="O33" s="22"/>
      <c r="P33" s="257"/>
      <c r="Q33" s="22"/>
      <c r="R33" s="22"/>
      <c r="S33" s="22"/>
      <c r="T33" s="257"/>
      <c r="U33" s="22"/>
      <c r="V33" s="22"/>
      <c r="W33" s="22"/>
      <c r="X33" s="257"/>
      <c r="Y33" s="22"/>
      <c r="Z33" s="22"/>
      <c r="AA33" s="22"/>
      <c r="AB33" s="257"/>
      <c r="AC33" s="22"/>
      <c r="AD33" s="22"/>
      <c r="AE33" s="22"/>
      <c r="AF33" s="257"/>
      <c r="AG33" s="22"/>
      <c r="AH33" s="22"/>
      <c r="AI33" s="22"/>
      <c r="AJ33" s="257"/>
      <c r="AK33" s="22"/>
      <c r="AL33" s="22"/>
      <c r="AM33" s="22"/>
      <c r="AN33" s="257"/>
      <c r="AO33" s="22"/>
      <c r="AP33" s="22"/>
      <c r="AQ33" s="22"/>
      <c r="AR33" s="257"/>
      <c r="AS33" s="22"/>
      <c r="AT33" s="22"/>
      <c r="AU33" s="22"/>
      <c r="AV33" s="257"/>
      <c r="AW33" s="22"/>
      <c r="AX33" s="22"/>
      <c r="AY33" s="22"/>
      <c r="AZ33" s="257"/>
      <c r="BA33" s="22"/>
      <c r="BB33" s="22"/>
      <c r="BC33" s="22"/>
      <c r="BD33" s="257"/>
      <c r="BE33" s="22"/>
      <c r="BF33" s="22"/>
      <c r="BG33" s="22"/>
      <c r="BH33" s="257"/>
      <c r="BI33" s="22"/>
      <c r="BJ33" s="22"/>
      <c r="BK33" s="22"/>
      <c r="BL33" s="257"/>
      <c r="BM33" s="22"/>
      <c r="BN33" s="22"/>
      <c r="BO33" s="22"/>
      <c r="BP33" s="257"/>
      <c r="BQ33" s="22"/>
      <c r="BR33" s="22"/>
      <c r="BS33" s="22"/>
      <c r="BT33" s="257"/>
      <c r="BU33" s="22"/>
      <c r="BV33" s="22"/>
      <c r="BW33" s="22"/>
      <c r="BX33" s="257"/>
      <c r="BY33" s="267"/>
      <c r="BZ33" s="22"/>
      <c r="CA33" s="22"/>
      <c r="CB33" s="262"/>
      <c r="CC33" s="22"/>
      <c r="CD33" s="22"/>
      <c r="CE33" s="22"/>
      <c r="CF33" s="262"/>
      <c r="CG33" s="22"/>
      <c r="CH33" s="22"/>
      <c r="CI33" s="22"/>
      <c r="CJ33" s="262"/>
      <c r="CK33" s="22"/>
      <c r="CL33" s="22"/>
    </row>
    <row r="34" spans="2:90" s="3" customFormat="1" ht="12.75">
      <c r="B34" s="168"/>
      <c r="C34" s="167"/>
      <c r="D34" s="257"/>
      <c r="E34" s="22"/>
      <c r="F34" s="22"/>
      <c r="G34" s="22"/>
      <c r="H34" s="257"/>
      <c r="I34" s="22"/>
      <c r="J34" s="22"/>
      <c r="K34" s="22"/>
      <c r="L34" s="257"/>
      <c r="M34" s="22"/>
      <c r="N34" s="22"/>
      <c r="O34" s="22"/>
      <c r="P34" s="257"/>
      <c r="Q34" s="22"/>
      <c r="R34" s="22"/>
      <c r="S34" s="22"/>
      <c r="T34" s="257"/>
      <c r="U34" s="22"/>
      <c r="V34" s="22"/>
      <c r="W34" s="22"/>
      <c r="X34" s="257"/>
      <c r="Y34" s="22"/>
      <c r="Z34" s="22"/>
      <c r="AA34" s="22"/>
      <c r="AB34" s="257"/>
      <c r="AC34" s="22"/>
      <c r="AD34" s="22"/>
      <c r="AE34" s="22"/>
      <c r="AF34" s="257"/>
      <c r="AG34" s="22"/>
      <c r="AH34" s="22"/>
      <c r="AI34" s="22"/>
      <c r="AJ34" s="257"/>
      <c r="AK34" s="22"/>
      <c r="AL34" s="22"/>
      <c r="AM34" s="22"/>
      <c r="AN34" s="257"/>
      <c r="AO34" s="22"/>
      <c r="AP34" s="22"/>
      <c r="AQ34" s="22"/>
      <c r="AR34" s="257"/>
      <c r="AS34" s="22"/>
      <c r="AT34" s="22"/>
      <c r="AU34" s="22"/>
      <c r="AV34" s="257"/>
      <c r="AW34" s="22"/>
      <c r="AX34" s="22"/>
      <c r="AY34" s="22"/>
      <c r="AZ34" s="257"/>
      <c r="BA34" s="22"/>
      <c r="BB34" s="22"/>
      <c r="BC34" s="22"/>
      <c r="BD34" s="257"/>
      <c r="BE34" s="22"/>
      <c r="BF34" s="22"/>
      <c r="BG34" s="22"/>
      <c r="BH34" s="257"/>
      <c r="BI34" s="22"/>
      <c r="BJ34" s="22"/>
      <c r="BK34" s="22"/>
      <c r="BL34" s="257"/>
      <c r="BM34" s="22"/>
      <c r="BN34" s="22"/>
      <c r="BO34" s="22"/>
      <c r="BP34" s="257"/>
      <c r="BQ34" s="22"/>
      <c r="BR34" s="22"/>
      <c r="BS34" s="22"/>
      <c r="BT34" s="257"/>
      <c r="BU34" s="22"/>
      <c r="BV34" s="22"/>
      <c r="BW34" s="22"/>
      <c r="BX34" s="257"/>
      <c r="BY34" s="267"/>
      <c r="BZ34" s="22"/>
      <c r="CA34" s="22"/>
      <c r="CB34" s="262"/>
      <c r="CC34" s="22"/>
      <c r="CD34" s="22"/>
      <c r="CE34" s="22"/>
      <c r="CF34" s="262"/>
      <c r="CG34" s="22"/>
      <c r="CH34" s="22"/>
      <c r="CI34" s="22"/>
      <c r="CJ34" s="262"/>
      <c r="CK34" s="22"/>
      <c r="CL34" s="22"/>
    </row>
    <row r="35" spans="1:90" s="3" customFormat="1" ht="12.75">
      <c r="A35" s="4" t="s">
        <v>194</v>
      </c>
      <c r="B35" s="168"/>
      <c r="C35" s="167"/>
      <c r="D35" s="257"/>
      <c r="E35" s="22"/>
      <c r="F35" s="22"/>
      <c r="G35" s="22"/>
      <c r="H35" s="257"/>
      <c r="I35" s="22"/>
      <c r="J35" s="22"/>
      <c r="K35" s="22"/>
      <c r="L35" s="257"/>
      <c r="M35" s="22"/>
      <c r="N35" s="22"/>
      <c r="O35" s="22"/>
      <c r="P35" s="257"/>
      <c r="Q35" s="22"/>
      <c r="R35" s="22"/>
      <c r="S35" s="22"/>
      <c r="T35" s="257"/>
      <c r="U35" s="22"/>
      <c r="V35" s="22"/>
      <c r="W35" s="22"/>
      <c r="X35" s="257"/>
      <c r="Y35" s="22"/>
      <c r="Z35" s="22"/>
      <c r="AA35" s="22"/>
      <c r="AB35" s="257"/>
      <c r="AC35" s="22"/>
      <c r="AD35" s="22"/>
      <c r="AE35" s="22"/>
      <c r="AF35" s="257"/>
      <c r="AG35" s="22"/>
      <c r="AH35" s="22"/>
      <c r="AI35" s="22"/>
      <c r="AJ35" s="257"/>
      <c r="AK35" s="22"/>
      <c r="AL35" s="22"/>
      <c r="AM35" s="22"/>
      <c r="AN35" s="257"/>
      <c r="AO35" s="22"/>
      <c r="AP35" s="22"/>
      <c r="AQ35" s="22"/>
      <c r="AR35" s="257"/>
      <c r="AS35" s="22"/>
      <c r="AT35" s="22"/>
      <c r="AU35" s="22"/>
      <c r="AV35" s="257"/>
      <c r="AW35" s="22"/>
      <c r="AX35" s="22"/>
      <c r="AY35" s="22"/>
      <c r="AZ35" s="257"/>
      <c r="BA35" s="22"/>
      <c r="BB35" s="22"/>
      <c r="BC35" s="22"/>
      <c r="BD35" s="257"/>
      <c r="BE35" s="22"/>
      <c r="BF35" s="22"/>
      <c r="BG35" s="22"/>
      <c r="BH35" s="257"/>
      <c r="BI35" s="22"/>
      <c r="BJ35" s="22"/>
      <c r="BK35" s="22"/>
      <c r="BL35" s="257"/>
      <c r="BM35" s="22"/>
      <c r="BN35" s="22"/>
      <c r="BO35" s="22"/>
      <c r="BP35" s="257"/>
      <c r="BQ35" s="22"/>
      <c r="BR35" s="22"/>
      <c r="BS35" s="22"/>
      <c r="BT35" s="257"/>
      <c r="BU35" s="22"/>
      <c r="BV35" s="22"/>
      <c r="BW35" s="22"/>
      <c r="BX35" s="257"/>
      <c r="BY35" s="267"/>
      <c r="BZ35" s="22"/>
      <c r="CA35" s="22"/>
      <c r="CB35" s="262"/>
      <c r="CC35" s="22"/>
      <c r="CD35" s="22"/>
      <c r="CE35" s="22"/>
      <c r="CF35" s="262"/>
      <c r="CG35" s="22"/>
      <c r="CH35" s="22"/>
      <c r="CI35" s="22"/>
      <c r="CJ35" s="262"/>
      <c r="CK35" s="22"/>
      <c r="CL35" s="22"/>
    </row>
    <row r="36" spans="1:90" s="3" customFormat="1" ht="12.75">
      <c r="A36" s="3" t="s">
        <v>169</v>
      </c>
      <c r="B36" s="168">
        <v>100000</v>
      </c>
      <c r="C36" s="167">
        <v>0.4</v>
      </c>
      <c r="D36" s="255">
        <v>0</v>
      </c>
      <c r="E36" s="28">
        <f>($B36*D36)*(1+$B$5)</f>
        <v>0</v>
      </c>
      <c r="F36" s="28">
        <v>0</v>
      </c>
      <c r="G36" s="22"/>
      <c r="H36" s="255">
        <v>0.01</v>
      </c>
      <c r="I36" s="28">
        <f>($B36*H36)*(1+$B$5)</f>
        <v>1250</v>
      </c>
      <c r="J36" s="28">
        <v>0</v>
      </c>
      <c r="K36" s="22"/>
      <c r="L36" s="255">
        <v>0.01</v>
      </c>
      <c r="M36" s="28">
        <f>($B36*L36)*(1+$B$5)</f>
        <v>1250</v>
      </c>
      <c r="N36" s="28">
        <v>0</v>
      </c>
      <c r="O36" s="22"/>
      <c r="P36" s="255">
        <v>0.01</v>
      </c>
      <c r="Q36" s="28">
        <f>($B36*P36)*(1+$B$5)</f>
        <v>1250</v>
      </c>
      <c r="R36" s="28">
        <v>0</v>
      </c>
      <c r="S36" s="22"/>
      <c r="T36" s="255">
        <v>0.01</v>
      </c>
      <c r="U36" s="28">
        <f>($B36*T36)*(1+$B$5)</f>
        <v>1250</v>
      </c>
      <c r="V36" s="28">
        <v>0</v>
      </c>
      <c r="W36" s="22"/>
      <c r="X36" s="255">
        <v>0.01</v>
      </c>
      <c r="Y36" s="28">
        <f>($B36*X36)*(1+$B$5)</f>
        <v>1250</v>
      </c>
      <c r="Z36" s="28">
        <v>0</v>
      </c>
      <c r="AA36" s="22"/>
      <c r="AB36" s="255">
        <v>0.05</v>
      </c>
      <c r="AC36" s="28">
        <f>($B36*AB36)*(1+$B$5)</f>
        <v>6250</v>
      </c>
      <c r="AD36" s="28">
        <v>0</v>
      </c>
      <c r="AE36" s="22"/>
      <c r="AF36" s="255">
        <v>0.05</v>
      </c>
      <c r="AG36" s="28">
        <f>($B36*AF36)*(1+$B$5)</f>
        <v>6250</v>
      </c>
      <c r="AH36" s="28">
        <v>0</v>
      </c>
      <c r="AI36" s="22"/>
      <c r="AJ36" s="255">
        <v>0.05</v>
      </c>
      <c r="AK36" s="28">
        <f>($B36*AJ36)*(1+$B$5)</f>
        <v>6250</v>
      </c>
      <c r="AL36" s="28">
        <v>0</v>
      </c>
      <c r="AM36" s="22"/>
      <c r="AN36" s="255">
        <v>0.05</v>
      </c>
      <c r="AO36" s="28">
        <f>($B36*AN36)*(1+$B$5)</f>
        <v>6250</v>
      </c>
      <c r="AP36" s="28">
        <v>0</v>
      </c>
      <c r="AQ36" s="22"/>
      <c r="AR36" s="255">
        <v>0.05</v>
      </c>
      <c r="AS36" s="28">
        <f>($B36*AR36)*(1+$B$5)</f>
        <v>6250</v>
      </c>
      <c r="AT36" s="28">
        <v>0</v>
      </c>
      <c r="AU36" s="22"/>
      <c r="AV36" s="255">
        <v>0.05</v>
      </c>
      <c r="AW36" s="28">
        <f>($B36*AV36)*(1+$B$5)</f>
        <v>6250</v>
      </c>
      <c r="AX36" s="28">
        <v>0</v>
      </c>
      <c r="AY36" s="22"/>
      <c r="AZ36" s="255">
        <v>0.0833</v>
      </c>
      <c r="BA36" s="28">
        <f>($B36*AZ36)*(1+$B$5)</f>
        <v>10412.5</v>
      </c>
      <c r="BB36" s="28">
        <f>$C36*BA36*(1+$B$5)</f>
        <v>5206.25</v>
      </c>
      <c r="BC36" s="22"/>
      <c r="BD36" s="255">
        <v>0.0833</v>
      </c>
      <c r="BE36" s="28">
        <f>($B36*BD36)*(1+$B$5)</f>
        <v>10412.5</v>
      </c>
      <c r="BF36" s="28">
        <f>$C36*BE36*(1+$B$5)</f>
        <v>5206.25</v>
      </c>
      <c r="BG36" s="22"/>
      <c r="BH36" s="255">
        <v>0.0833</v>
      </c>
      <c r="BI36" s="28">
        <f>($B36*BH36)*(1+$B$5)</f>
        <v>10412.5</v>
      </c>
      <c r="BJ36" s="28">
        <f>$C36*BI36*(1+$B$5)</f>
        <v>5206.25</v>
      </c>
      <c r="BK36" s="22"/>
      <c r="BL36" s="255">
        <v>0.0833</v>
      </c>
      <c r="BM36" s="28">
        <f>($B36*BL36)*(1+$B$5)</f>
        <v>10412.5</v>
      </c>
      <c r="BN36" s="28">
        <f>$C36*BM36*(1+$B$5)</f>
        <v>5206.25</v>
      </c>
      <c r="BO36" s="22"/>
      <c r="BP36" s="255">
        <v>0.0833</v>
      </c>
      <c r="BQ36" s="28">
        <f>($B36*BP36)*(1+$B$5)</f>
        <v>10412.5</v>
      </c>
      <c r="BR36" s="28">
        <f>$C36*BQ36*(1+$B$5)</f>
        <v>5206.25</v>
      </c>
      <c r="BS36" s="22"/>
      <c r="BT36" s="255">
        <v>0.0833</v>
      </c>
      <c r="BU36" s="28">
        <f>($B36*BT36)*(1+$B$5)</f>
        <v>10412.5</v>
      </c>
      <c r="BV36" s="28">
        <f>$C36*BU36*(1+$B$5)</f>
        <v>5206.25</v>
      </c>
      <c r="BW36" s="22"/>
      <c r="BX36" s="255">
        <v>0.5</v>
      </c>
      <c r="BY36" s="6">
        <f>(B36*BX36)*(1+$B$5)</f>
        <v>62500</v>
      </c>
      <c r="BZ36" s="28">
        <f>$C36*BY36*(1+$B$5)</f>
        <v>31250</v>
      </c>
      <c r="CA36" s="22"/>
      <c r="CB36" s="264">
        <v>1</v>
      </c>
      <c r="CC36" s="3">
        <f>(B36*CB36)*(1+$B$5)</f>
        <v>125000</v>
      </c>
      <c r="CD36" s="26">
        <f>CC36*C36*(1+$B$5)</f>
        <v>62500</v>
      </c>
      <c r="CE36" s="22"/>
      <c r="CF36" s="264">
        <v>1</v>
      </c>
      <c r="CG36" s="3">
        <f>CF36*B36*(1+$CF$5)*(1+$B$5)</f>
        <v>131250</v>
      </c>
      <c r="CH36" s="3">
        <f>CG36*C36*(1+$B$5)</f>
        <v>65625</v>
      </c>
      <c r="CI36" s="22"/>
      <c r="CJ36" s="264">
        <v>1</v>
      </c>
      <c r="CK36" s="3">
        <f>CJ36*B36*(1+$CJ$5+$CF$5)*(1+$B$5)</f>
        <v>137500.00000000003</v>
      </c>
      <c r="CL36" s="3">
        <f>CK36*C36*(1+$B$5)</f>
        <v>68750.00000000001</v>
      </c>
    </row>
    <row r="37" spans="1:90" s="3" customFormat="1" ht="12.75">
      <c r="A37" s="3" t="s">
        <v>170</v>
      </c>
      <c r="B37" s="168">
        <v>65000</v>
      </c>
      <c r="C37" s="167">
        <v>0.25</v>
      </c>
      <c r="D37" s="255">
        <v>0</v>
      </c>
      <c r="E37" s="28">
        <f>($B37*D37)*(1+$B$5)</f>
        <v>0</v>
      </c>
      <c r="F37" s="28">
        <v>0</v>
      </c>
      <c r="G37" s="22"/>
      <c r="H37" s="255">
        <v>0</v>
      </c>
      <c r="I37" s="28">
        <f>($B37*H37)*(1+$B$5)</f>
        <v>0</v>
      </c>
      <c r="J37" s="28">
        <v>0</v>
      </c>
      <c r="K37" s="22"/>
      <c r="L37" s="255">
        <v>0</v>
      </c>
      <c r="M37" s="28">
        <f>($B37*L37)*(1+$B$5)</f>
        <v>0</v>
      </c>
      <c r="N37" s="28">
        <v>0</v>
      </c>
      <c r="O37" s="22"/>
      <c r="P37" s="255">
        <v>0</v>
      </c>
      <c r="Q37" s="28">
        <f>($B37*P37)*(1+$B$5)</f>
        <v>0</v>
      </c>
      <c r="R37" s="28">
        <v>0</v>
      </c>
      <c r="S37" s="22"/>
      <c r="T37" s="255">
        <v>0</v>
      </c>
      <c r="U37" s="28">
        <f>($B37*T37)*(1+$B$5)</f>
        <v>0</v>
      </c>
      <c r="V37" s="28">
        <v>0</v>
      </c>
      <c r="W37" s="22"/>
      <c r="X37" s="255">
        <v>0</v>
      </c>
      <c r="Y37" s="28">
        <f>($B37*X37)*(1+$B$5)</f>
        <v>0</v>
      </c>
      <c r="Z37" s="28">
        <v>0</v>
      </c>
      <c r="AA37" s="22"/>
      <c r="AB37" s="255">
        <v>0</v>
      </c>
      <c r="AC37" s="28">
        <f>($B37*AB37)*(1+$B$5)</f>
        <v>0</v>
      </c>
      <c r="AD37" s="28">
        <v>0</v>
      </c>
      <c r="AE37" s="22"/>
      <c r="AF37" s="255">
        <v>0</v>
      </c>
      <c r="AG37" s="28">
        <f>($B37*AF37)*(1+$B$5)</f>
        <v>0</v>
      </c>
      <c r="AH37" s="28">
        <v>0</v>
      </c>
      <c r="AI37" s="22"/>
      <c r="AJ37" s="255">
        <v>0</v>
      </c>
      <c r="AK37" s="28">
        <f>($B37*AJ37)*(1+$B$5)</f>
        <v>0</v>
      </c>
      <c r="AL37" s="28">
        <v>0</v>
      </c>
      <c r="AM37" s="22"/>
      <c r="AN37" s="255">
        <v>0</v>
      </c>
      <c r="AO37" s="28">
        <f>($B37*AN37)*(1+$B$5)</f>
        <v>0</v>
      </c>
      <c r="AP37" s="28">
        <v>0</v>
      </c>
      <c r="AQ37" s="22"/>
      <c r="AR37" s="255">
        <v>0</v>
      </c>
      <c r="AS37" s="28">
        <f>($B37*AR37)*(1+$B$5)</f>
        <v>0</v>
      </c>
      <c r="AT37" s="28">
        <v>0</v>
      </c>
      <c r="AU37" s="22"/>
      <c r="AV37" s="255">
        <v>0</v>
      </c>
      <c r="AW37" s="28">
        <f>($B37*AV37)*(1+$B$5)</f>
        <v>0</v>
      </c>
      <c r="AX37" s="28">
        <v>0</v>
      </c>
      <c r="AY37" s="22"/>
      <c r="AZ37" s="255">
        <v>0</v>
      </c>
      <c r="BA37" s="28">
        <f>($B37*AZ37)*(1+$B$5)</f>
        <v>0</v>
      </c>
      <c r="BB37" s="28">
        <f>$C37*BA37*(1+$B$5)</f>
        <v>0</v>
      </c>
      <c r="BC37" s="22"/>
      <c r="BD37" s="255">
        <v>0</v>
      </c>
      <c r="BE37" s="28">
        <f>($B37*BD37)*(1+$B$5)</f>
        <v>0</v>
      </c>
      <c r="BF37" s="28">
        <f>$C37*BE37*(1+$B$5)</f>
        <v>0</v>
      </c>
      <c r="BG37" s="22"/>
      <c r="BH37" s="255">
        <v>0</v>
      </c>
      <c r="BI37" s="28">
        <f>($B37*BH37)*(1+$B$5)</f>
        <v>0</v>
      </c>
      <c r="BJ37" s="28">
        <f>$C37*BI37*(1+$B$5)</f>
        <v>0</v>
      </c>
      <c r="BK37" s="22"/>
      <c r="BL37" s="255">
        <v>0</v>
      </c>
      <c r="BM37" s="28">
        <f>($B37*BL37)*(1+$B$5)</f>
        <v>0</v>
      </c>
      <c r="BN37" s="28">
        <f>$C37*BM37*(1+$B$5)</f>
        <v>0</v>
      </c>
      <c r="BO37" s="22"/>
      <c r="BP37" s="255">
        <v>0</v>
      </c>
      <c r="BQ37" s="28">
        <f>($B37*BP37)*(1+$B$5)</f>
        <v>0</v>
      </c>
      <c r="BR37" s="28">
        <f>$C37*BQ37*(1+$B$5)</f>
        <v>0</v>
      </c>
      <c r="BS37" s="22"/>
      <c r="BT37" s="255">
        <v>0</v>
      </c>
      <c r="BU37" s="28">
        <f>($B37*BT37)*(1+$B$5)</f>
        <v>0</v>
      </c>
      <c r="BV37" s="28">
        <f>$C37*BU37*(1+$B$5)</f>
        <v>0</v>
      </c>
      <c r="BW37" s="22"/>
      <c r="BX37" s="255">
        <v>0</v>
      </c>
      <c r="BY37" s="6">
        <f>(B37*BX37)*(1+$B$5)</f>
        <v>0</v>
      </c>
      <c r="BZ37" s="28">
        <f>$C37*BY37*(1+$B$5)</f>
        <v>0</v>
      </c>
      <c r="CA37" s="22"/>
      <c r="CB37" s="264">
        <v>0</v>
      </c>
      <c r="CC37" s="3">
        <f>(B37*CB37)*(1+$B$5)</f>
        <v>0</v>
      </c>
      <c r="CD37" s="26">
        <f>CC37*C37*(1+$B$5)</f>
        <v>0</v>
      </c>
      <c r="CE37" s="22"/>
      <c r="CF37" s="264">
        <v>1</v>
      </c>
      <c r="CG37" s="3">
        <f>CF37*B37*(1+$CF$5)*(1+$B$5)</f>
        <v>85312.5</v>
      </c>
      <c r="CH37" s="3">
        <f>CG37*C37*(1+$B$5)</f>
        <v>26660.15625</v>
      </c>
      <c r="CI37" s="22"/>
      <c r="CJ37" s="264">
        <v>1</v>
      </c>
      <c r="CK37" s="3">
        <f>CJ37*B37*(1+$CJ$5+$CF$5)*(1+$B$5)</f>
        <v>89375</v>
      </c>
      <c r="CL37" s="3">
        <f>CK37*C37*(1+$B$5)</f>
        <v>27929.6875</v>
      </c>
    </row>
    <row r="38" spans="1:90" s="170" customFormat="1" ht="12.75">
      <c r="A38" s="170" t="s">
        <v>200</v>
      </c>
      <c r="B38" s="247">
        <v>50000</v>
      </c>
      <c r="C38" s="248"/>
      <c r="D38" s="256"/>
      <c r="E38" s="203">
        <f>($B38*D38)*(1+$B$5)</f>
        <v>0</v>
      </c>
      <c r="F38" s="203">
        <v>0</v>
      </c>
      <c r="G38" s="95"/>
      <c r="H38" s="256"/>
      <c r="I38" s="203">
        <f>($B38*H38)*(1+$B$5)</f>
        <v>0</v>
      </c>
      <c r="J38" s="203">
        <v>0</v>
      </c>
      <c r="K38" s="95"/>
      <c r="L38" s="256"/>
      <c r="M38" s="203">
        <f>($B38*L38)*(1+$B$5)</f>
        <v>0</v>
      </c>
      <c r="N38" s="203">
        <v>0</v>
      </c>
      <c r="O38" s="95"/>
      <c r="P38" s="256"/>
      <c r="Q38" s="203">
        <f>($B38*P38)*(1+$B$5)</f>
        <v>0</v>
      </c>
      <c r="R38" s="203">
        <v>0</v>
      </c>
      <c r="S38" s="95"/>
      <c r="T38" s="256"/>
      <c r="U38" s="203">
        <f>($B38*T38)*(1+$B$5)</f>
        <v>0</v>
      </c>
      <c r="V38" s="203">
        <v>0</v>
      </c>
      <c r="W38" s="95"/>
      <c r="X38" s="256"/>
      <c r="Y38" s="203">
        <f>($B38*X38)*(1+$B$5)</f>
        <v>0</v>
      </c>
      <c r="Z38" s="203">
        <v>0</v>
      </c>
      <c r="AA38" s="95"/>
      <c r="AB38" s="256"/>
      <c r="AC38" s="203">
        <f>($B38*AB38)*(1+$B$5)</f>
        <v>0</v>
      </c>
      <c r="AD38" s="203">
        <v>0</v>
      </c>
      <c r="AE38" s="95"/>
      <c r="AF38" s="256"/>
      <c r="AG38" s="203">
        <f>($B38*AF38)*(1+$B$5)</f>
        <v>0</v>
      </c>
      <c r="AH38" s="203">
        <v>0</v>
      </c>
      <c r="AI38" s="95"/>
      <c r="AJ38" s="256"/>
      <c r="AK38" s="203">
        <f>($B38*AJ38)*(1+$B$5)</f>
        <v>0</v>
      </c>
      <c r="AL38" s="203">
        <v>0</v>
      </c>
      <c r="AM38" s="95"/>
      <c r="AN38" s="256"/>
      <c r="AO38" s="203">
        <f>($B38*AN38)*(1+$B$5)</f>
        <v>0</v>
      </c>
      <c r="AP38" s="203">
        <v>0</v>
      </c>
      <c r="AQ38" s="95"/>
      <c r="AR38" s="256"/>
      <c r="AS38" s="203">
        <f>($B38*AR38)*(1+$B$5)</f>
        <v>0</v>
      </c>
      <c r="AT38" s="203">
        <v>0</v>
      </c>
      <c r="AU38" s="95"/>
      <c r="AV38" s="256"/>
      <c r="AW38" s="203">
        <f>($B38*AV38)*(1+$B$5)</f>
        <v>0</v>
      </c>
      <c r="AX38" s="203">
        <v>0</v>
      </c>
      <c r="AY38" s="95"/>
      <c r="AZ38" s="256"/>
      <c r="BA38" s="203">
        <f>($B38*AZ38)*(1+$B$5)</f>
        <v>0</v>
      </c>
      <c r="BB38" s="203">
        <f>$C38*BA38*(1+$B$5)</f>
        <v>0</v>
      </c>
      <c r="BC38" s="95"/>
      <c r="BD38" s="256"/>
      <c r="BE38" s="203">
        <f>($B38*BD38)*(1+$B$5)</f>
        <v>0</v>
      </c>
      <c r="BF38" s="203">
        <f>$C38*BE38*(1+$B$5)</f>
        <v>0</v>
      </c>
      <c r="BG38" s="95"/>
      <c r="BH38" s="256"/>
      <c r="BI38" s="203">
        <f>($B38*BH38)*(1+$B$5)</f>
        <v>0</v>
      </c>
      <c r="BJ38" s="203">
        <f>$C38*BI38*(1+$B$5)</f>
        <v>0</v>
      </c>
      <c r="BK38" s="95"/>
      <c r="BL38" s="256"/>
      <c r="BM38" s="203">
        <f>($B38*BL38)*(1+$B$5)</f>
        <v>0</v>
      </c>
      <c r="BN38" s="203">
        <f>$C38*BM38*(1+$B$5)</f>
        <v>0</v>
      </c>
      <c r="BO38" s="95"/>
      <c r="BP38" s="256"/>
      <c r="BQ38" s="203">
        <f>($B38*BP38)*(1+$B$5)</f>
        <v>0</v>
      </c>
      <c r="BR38" s="203">
        <f>$C38*BQ38*(1+$B$5)</f>
        <v>0</v>
      </c>
      <c r="BS38" s="95"/>
      <c r="BT38" s="256"/>
      <c r="BU38" s="203">
        <f>($B38*BT38)*(1+$B$5)</f>
        <v>0</v>
      </c>
      <c r="BV38" s="203">
        <f>$C38*BU38*(1+$B$5)</f>
        <v>0</v>
      </c>
      <c r="BW38" s="95"/>
      <c r="BX38" s="256"/>
      <c r="BY38" s="170">
        <f>(B38*BX38)*(1+$B$5)</f>
        <v>0</v>
      </c>
      <c r="BZ38" s="203">
        <f>$C38*BY38*(1+$B$5)</f>
        <v>0</v>
      </c>
      <c r="CA38" s="95"/>
      <c r="CB38" s="265"/>
      <c r="CC38" s="170">
        <f>(B38*CB38)*(1+$B$5)</f>
        <v>0</v>
      </c>
      <c r="CD38" s="194">
        <f>CC38*C38*(1+$B$5)</f>
        <v>0</v>
      </c>
      <c r="CE38" s="95"/>
      <c r="CF38" s="265"/>
      <c r="CG38" s="170">
        <f>CF38*B38*(1+$CF$5)*(1+$B$5)</f>
        <v>0</v>
      </c>
      <c r="CH38" s="170">
        <f>CG38*C38*(1+$B$5)</f>
        <v>0</v>
      </c>
      <c r="CI38" s="95"/>
      <c r="CJ38" s="265"/>
      <c r="CK38" s="170">
        <f>CJ38*B38*(1+$CJ$5+$CF$5)*(1+$B$5)</f>
        <v>0</v>
      </c>
      <c r="CL38" s="170">
        <f>CK38*C38*(1+$B$5)</f>
        <v>0</v>
      </c>
    </row>
    <row r="39" spans="2:90" s="3" customFormat="1" ht="12.75">
      <c r="B39" s="168"/>
      <c r="C39" s="167"/>
      <c r="D39" s="257">
        <f>SUM(D36:D38)</f>
        <v>0</v>
      </c>
      <c r="E39" s="22">
        <f>SUM(E36:E38)</f>
        <v>0</v>
      </c>
      <c r="F39" s="22">
        <f>SUM(F36:F38)</f>
        <v>0</v>
      </c>
      <c r="G39" s="22"/>
      <c r="H39" s="257">
        <f>SUM(H36:H38)</f>
        <v>0.01</v>
      </c>
      <c r="I39" s="22">
        <f>SUM(I36:I38)</f>
        <v>1250</v>
      </c>
      <c r="J39" s="22">
        <f>SUM(J36:J38)</f>
        <v>0</v>
      </c>
      <c r="K39" s="22"/>
      <c r="L39" s="257">
        <f>SUM(L36:L38)</f>
        <v>0.01</v>
      </c>
      <c r="M39" s="22">
        <f>SUM(M36:M38)</f>
        <v>1250</v>
      </c>
      <c r="N39" s="22">
        <f>SUM(N36:N38)</f>
        <v>0</v>
      </c>
      <c r="O39" s="22"/>
      <c r="P39" s="257">
        <f>SUM(P36:P38)</f>
        <v>0.01</v>
      </c>
      <c r="Q39" s="22">
        <f>SUM(Q36:Q38)</f>
        <v>1250</v>
      </c>
      <c r="R39" s="22">
        <f>SUM(R36:R38)</f>
        <v>0</v>
      </c>
      <c r="S39" s="22"/>
      <c r="T39" s="257">
        <f>SUM(T36:T38)</f>
        <v>0.01</v>
      </c>
      <c r="U39" s="22">
        <f>SUM(U36:U38)</f>
        <v>1250</v>
      </c>
      <c r="V39" s="22">
        <f>SUM(V36:V38)</f>
        <v>0</v>
      </c>
      <c r="W39" s="22"/>
      <c r="X39" s="257">
        <f>SUM(X36:X38)</f>
        <v>0.01</v>
      </c>
      <c r="Y39" s="22">
        <f>SUM(Y36:Y38)</f>
        <v>1250</v>
      </c>
      <c r="Z39" s="22">
        <f>SUM(Z36:Z38)</f>
        <v>0</v>
      </c>
      <c r="AA39" s="22"/>
      <c r="AB39" s="257">
        <f>SUM(AB36:AB38)</f>
        <v>0.05</v>
      </c>
      <c r="AC39" s="22">
        <f>SUM(AC36:AC38)</f>
        <v>6250</v>
      </c>
      <c r="AD39" s="22">
        <f>SUM(AD36:AD38)</f>
        <v>0</v>
      </c>
      <c r="AE39" s="22"/>
      <c r="AF39" s="257">
        <f>SUM(AF36:AF38)</f>
        <v>0.05</v>
      </c>
      <c r="AG39" s="22">
        <f>SUM(AG36:AG38)</f>
        <v>6250</v>
      </c>
      <c r="AH39" s="22">
        <f>SUM(AH36:AH38)</f>
        <v>0</v>
      </c>
      <c r="AI39" s="22"/>
      <c r="AJ39" s="257">
        <f>SUM(AJ36:AJ38)</f>
        <v>0.05</v>
      </c>
      <c r="AK39" s="22">
        <f>SUM(AK36:AK38)</f>
        <v>6250</v>
      </c>
      <c r="AL39" s="22">
        <f>SUM(AL36:AL38)</f>
        <v>0</v>
      </c>
      <c r="AM39" s="22"/>
      <c r="AN39" s="257">
        <f>SUM(AN36:AN38)</f>
        <v>0.05</v>
      </c>
      <c r="AO39" s="22">
        <f>SUM(AO36:AO38)</f>
        <v>6250</v>
      </c>
      <c r="AP39" s="22">
        <f>SUM(AP36:AP38)</f>
        <v>0</v>
      </c>
      <c r="AQ39" s="22"/>
      <c r="AR39" s="257">
        <f>SUM(AR36:AR38)</f>
        <v>0.05</v>
      </c>
      <c r="AS39" s="22">
        <f>SUM(AS36:AS38)</f>
        <v>6250</v>
      </c>
      <c r="AT39" s="22">
        <f>SUM(AT36:AT38)</f>
        <v>0</v>
      </c>
      <c r="AU39" s="22"/>
      <c r="AV39" s="257">
        <f>SUM(AV36:AV38)</f>
        <v>0.05</v>
      </c>
      <c r="AW39" s="22">
        <f>SUM(AW36:AW38)</f>
        <v>6250</v>
      </c>
      <c r="AX39" s="22">
        <f>SUM(AX36:AX38)</f>
        <v>0</v>
      </c>
      <c r="AY39" s="22"/>
      <c r="AZ39" s="257">
        <f>SUM(AZ36:AZ38)</f>
        <v>0.0833</v>
      </c>
      <c r="BA39" s="22">
        <f>SUM(BA36:BA38)</f>
        <v>10412.5</v>
      </c>
      <c r="BB39" s="22">
        <f>SUM(BB36:BB38)</f>
        <v>5206.25</v>
      </c>
      <c r="BC39" s="22"/>
      <c r="BD39" s="257">
        <f>SUM(BD36:BD38)</f>
        <v>0.0833</v>
      </c>
      <c r="BE39" s="22">
        <f>SUM(BE36:BE38)</f>
        <v>10412.5</v>
      </c>
      <c r="BF39" s="22">
        <f>SUM(BF36:BF38)</f>
        <v>5206.25</v>
      </c>
      <c r="BG39" s="22"/>
      <c r="BH39" s="257">
        <f>SUM(BH36:BH38)</f>
        <v>0.0833</v>
      </c>
      <c r="BI39" s="22">
        <f>SUM(BI36:BI38)</f>
        <v>10412.5</v>
      </c>
      <c r="BJ39" s="22">
        <f>SUM(BJ36:BJ38)</f>
        <v>5206.25</v>
      </c>
      <c r="BK39" s="22"/>
      <c r="BL39" s="257">
        <f>SUM(BL36:BL38)</f>
        <v>0.0833</v>
      </c>
      <c r="BM39" s="22">
        <f>SUM(BM36:BM38)</f>
        <v>10412.5</v>
      </c>
      <c r="BN39" s="22">
        <f>SUM(BN36:BN38)</f>
        <v>5206.25</v>
      </c>
      <c r="BO39" s="22"/>
      <c r="BP39" s="257">
        <f>SUM(BP36:BP38)</f>
        <v>0.0833</v>
      </c>
      <c r="BQ39" s="22">
        <f>SUM(BQ36:BQ38)</f>
        <v>10412.5</v>
      </c>
      <c r="BR39" s="22">
        <f>SUM(BR36:BR38)</f>
        <v>5206.25</v>
      </c>
      <c r="BS39" s="22"/>
      <c r="BT39" s="257">
        <f>SUM(BT36:BT38)</f>
        <v>0.0833</v>
      </c>
      <c r="BU39" s="22">
        <f>SUM(BU36:BU38)</f>
        <v>10412.5</v>
      </c>
      <c r="BV39" s="22">
        <f>SUM(BV36:BV38)</f>
        <v>5206.25</v>
      </c>
      <c r="BW39" s="22"/>
      <c r="BX39" s="257">
        <f>SUM(BX36:BX38)</f>
        <v>0.5</v>
      </c>
      <c r="BY39" s="267">
        <f>SUM(BY36:BY38)</f>
        <v>62500</v>
      </c>
      <c r="BZ39" s="22">
        <f>SUM(BZ36:BZ38)</f>
        <v>31250</v>
      </c>
      <c r="CA39" s="22"/>
      <c r="CB39" s="262">
        <f>SUM(CB36:CB38)</f>
        <v>1</v>
      </c>
      <c r="CC39" s="22">
        <f>SUM(CC36:CC38)</f>
        <v>125000</v>
      </c>
      <c r="CD39" s="22">
        <f>SUM(CD36:CD38)</f>
        <v>62500</v>
      </c>
      <c r="CE39" s="22"/>
      <c r="CF39" s="262">
        <f>SUM(CF36:CF38)</f>
        <v>2</v>
      </c>
      <c r="CG39" s="22">
        <f>SUM(CG36:CG38)</f>
        <v>216562.5</v>
      </c>
      <c r="CH39" s="22">
        <f>SUM(CH36:CH38)</f>
        <v>92285.15625</v>
      </c>
      <c r="CI39" s="22"/>
      <c r="CJ39" s="262">
        <f>SUM(CJ36:CJ38)</f>
        <v>2</v>
      </c>
      <c r="CK39" s="22">
        <f>SUM(CK36:CK38)</f>
        <v>226875.00000000003</v>
      </c>
      <c r="CL39" s="22">
        <f>SUM(CL36:CL38)</f>
        <v>96679.68750000001</v>
      </c>
    </row>
    <row r="40" spans="2:90" s="3" customFormat="1" ht="12.75">
      <c r="B40" s="168"/>
      <c r="C40" s="167"/>
      <c r="D40" s="257"/>
      <c r="E40" s="22"/>
      <c r="F40" s="22"/>
      <c r="G40" s="22"/>
      <c r="H40" s="257"/>
      <c r="I40" s="22"/>
      <c r="J40" s="22"/>
      <c r="K40" s="22"/>
      <c r="L40" s="257"/>
      <c r="M40" s="22"/>
      <c r="N40" s="22"/>
      <c r="O40" s="22"/>
      <c r="P40" s="257"/>
      <c r="Q40" s="22"/>
      <c r="R40" s="22"/>
      <c r="S40" s="22"/>
      <c r="T40" s="257"/>
      <c r="U40" s="22"/>
      <c r="V40" s="22"/>
      <c r="W40" s="22"/>
      <c r="X40" s="257"/>
      <c r="Y40" s="22"/>
      <c r="Z40" s="22"/>
      <c r="AA40" s="22"/>
      <c r="AB40" s="257"/>
      <c r="AC40" s="22"/>
      <c r="AD40" s="22"/>
      <c r="AE40" s="22"/>
      <c r="AF40" s="257"/>
      <c r="AG40" s="22"/>
      <c r="AH40" s="22"/>
      <c r="AI40" s="22"/>
      <c r="AJ40" s="257"/>
      <c r="AK40" s="22"/>
      <c r="AL40" s="22"/>
      <c r="AM40" s="22"/>
      <c r="AN40" s="257"/>
      <c r="AO40" s="22"/>
      <c r="AP40" s="22"/>
      <c r="AQ40" s="22"/>
      <c r="AR40" s="257"/>
      <c r="AS40" s="22"/>
      <c r="AT40" s="22"/>
      <c r="AU40" s="22"/>
      <c r="AV40" s="257"/>
      <c r="AW40" s="22"/>
      <c r="AX40" s="22"/>
      <c r="AY40" s="22"/>
      <c r="AZ40" s="257"/>
      <c r="BA40" s="22"/>
      <c r="BB40" s="22"/>
      <c r="BC40" s="22"/>
      <c r="BD40" s="257"/>
      <c r="BE40" s="22"/>
      <c r="BF40" s="22"/>
      <c r="BG40" s="22"/>
      <c r="BH40" s="257"/>
      <c r="BI40" s="22"/>
      <c r="BJ40" s="22"/>
      <c r="BK40" s="22"/>
      <c r="BL40" s="257"/>
      <c r="BM40" s="22"/>
      <c r="BN40" s="22"/>
      <c r="BO40" s="22"/>
      <c r="BP40" s="257"/>
      <c r="BQ40" s="22"/>
      <c r="BR40" s="22"/>
      <c r="BS40" s="22"/>
      <c r="BT40" s="257"/>
      <c r="BU40" s="22"/>
      <c r="BV40" s="22"/>
      <c r="BW40" s="22"/>
      <c r="BX40" s="257"/>
      <c r="BY40" s="267"/>
      <c r="BZ40" s="22"/>
      <c r="CA40" s="22"/>
      <c r="CB40" s="262"/>
      <c r="CC40" s="22"/>
      <c r="CD40" s="22"/>
      <c r="CE40" s="22"/>
      <c r="CF40" s="262"/>
      <c r="CG40" s="22"/>
      <c r="CH40" s="22"/>
      <c r="CI40" s="22"/>
      <c r="CJ40" s="262"/>
      <c r="CK40" s="22"/>
      <c r="CL40" s="22"/>
    </row>
    <row r="41" spans="1:90" s="3" customFormat="1" ht="12.75">
      <c r="A41" s="4" t="s">
        <v>195</v>
      </c>
      <c r="B41" s="168"/>
      <c r="C41" s="167"/>
      <c r="D41" s="257"/>
      <c r="E41" s="22"/>
      <c r="F41" s="22"/>
      <c r="G41" s="22"/>
      <c r="H41" s="257"/>
      <c r="I41" s="22"/>
      <c r="J41" s="22"/>
      <c r="K41" s="22"/>
      <c r="L41" s="257"/>
      <c r="M41" s="22"/>
      <c r="N41" s="22"/>
      <c r="O41" s="22"/>
      <c r="P41" s="257"/>
      <c r="Q41" s="22"/>
      <c r="R41" s="22"/>
      <c r="S41" s="22"/>
      <c r="T41" s="257"/>
      <c r="U41" s="22"/>
      <c r="V41" s="22"/>
      <c r="W41" s="22"/>
      <c r="X41" s="257"/>
      <c r="Y41" s="22"/>
      <c r="Z41" s="22"/>
      <c r="AA41" s="22"/>
      <c r="AB41" s="257"/>
      <c r="AC41" s="22"/>
      <c r="AD41" s="22"/>
      <c r="AE41" s="22"/>
      <c r="AF41" s="257"/>
      <c r="AG41" s="22"/>
      <c r="AH41" s="22"/>
      <c r="AI41" s="22"/>
      <c r="AJ41" s="257"/>
      <c r="AK41" s="22"/>
      <c r="AL41" s="22"/>
      <c r="AM41" s="22"/>
      <c r="AN41" s="257"/>
      <c r="AO41" s="22"/>
      <c r="AP41" s="22"/>
      <c r="AQ41" s="22"/>
      <c r="AR41" s="257"/>
      <c r="AS41" s="22"/>
      <c r="AT41" s="22"/>
      <c r="AU41" s="22"/>
      <c r="AV41" s="257"/>
      <c r="AW41" s="22"/>
      <c r="AX41" s="22"/>
      <c r="AY41" s="22"/>
      <c r="AZ41" s="257"/>
      <c r="BA41" s="22"/>
      <c r="BB41" s="22"/>
      <c r="BC41" s="22"/>
      <c r="BD41" s="257"/>
      <c r="BE41" s="22"/>
      <c r="BF41" s="22"/>
      <c r="BG41" s="22"/>
      <c r="BH41" s="257"/>
      <c r="BI41" s="22"/>
      <c r="BJ41" s="22"/>
      <c r="BK41" s="22"/>
      <c r="BL41" s="257"/>
      <c r="BM41" s="22"/>
      <c r="BN41" s="22"/>
      <c r="BO41" s="22"/>
      <c r="BP41" s="257"/>
      <c r="BQ41" s="22"/>
      <c r="BR41" s="22"/>
      <c r="BS41" s="22"/>
      <c r="BT41" s="257"/>
      <c r="BU41" s="22"/>
      <c r="BV41" s="22"/>
      <c r="BW41" s="22"/>
      <c r="BX41" s="257"/>
      <c r="BY41" s="267"/>
      <c r="BZ41" s="22"/>
      <c r="CA41" s="22"/>
      <c r="CB41" s="262"/>
      <c r="CC41" s="22"/>
      <c r="CD41" s="22"/>
      <c r="CE41" s="22"/>
      <c r="CF41" s="262"/>
      <c r="CG41" s="22"/>
      <c r="CH41" s="22"/>
      <c r="CI41" s="22"/>
      <c r="CJ41" s="262"/>
      <c r="CK41" s="22"/>
      <c r="CL41" s="22"/>
    </row>
    <row r="42" spans="1:90" s="3" customFormat="1" ht="12.75">
      <c r="A42" s="3" t="s">
        <v>169</v>
      </c>
      <c r="B42" s="168">
        <v>90000</v>
      </c>
      <c r="C42" s="167">
        <v>0.4</v>
      </c>
      <c r="D42" s="255">
        <v>0</v>
      </c>
      <c r="E42" s="28">
        <f>($B42*D42)*(1+$B$5)</f>
        <v>0</v>
      </c>
      <c r="F42" s="28">
        <v>0</v>
      </c>
      <c r="G42" s="22"/>
      <c r="H42" s="255">
        <v>0</v>
      </c>
      <c r="I42" s="28">
        <f>($B42*H42)*(1+$B$5)</f>
        <v>0</v>
      </c>
      <c r="J42" s="28">
        <v>0</v>
      </c>
      <c r="K42" s="22"/>
      <c r="L42" s="255">
        <v>0</v>
      </c>
      <c r="M42" s="28">
        <f>($B42*L42)*(1+$B$5)</f>
        <v>0</v>
      </c>
      <c r="N42" s="28">
        <v>0</v>
      </c>
      <c r="O42" s="22"/>
      <c r="P42" s="255">
        <v>0</v>
      </c>
      <c r="Q42" s="28">
        <f>($B42*P42)*(1+$B$5)</f>
        <v>0</v>
      </c>
      <c r="R42" s="28">
        <v>0</v>
      </c>
      <c r="S42" s="22"/>
      <c r="T42" s="255">
        <v>0</v>
      </c>
      <c r="U42" s="28">
        <f>($B42*T42)*(1+$B$5)</f>
        <v>0</v>
      </c>
      <c r="V42" s="28">
        <v>0</v>
      </c>
      <c r="W42" s="22"/>
      <c r="X42" s="255">
        <v>0</v>
      </c>
      <c r="Y42" s="28">
        <f>($B42*X42)*(1+$B$5)</f>
        <v>0</v>
      </c>
      <c r="Z42" s="28">
        <v>0</v>
      </c>
      <c r="AA42" s="22"/>
      <c r="AB42" s="255">
        <v>0</v>
      </c>
      <c r="AC42" s="28">
        <f>($B42*AB42)*(1+$B$5)</f>
        <v>0</v>
      </c>
      <c r="AD42" s="28">
        <v>0</v>
      </c>
      <c r="AE42" s="22"/>
      <c r="AF42" s="255">
        <v>0</v>
      </c>
      <c r="AG42" s="28">
        <f>($B42*AF42)*(1+$B$5)</f>
        <v>0</v>
      </c>
      <c r="AH42" s="28">
        <v>0</v>
      </c>
      <c r="AI42" s="22"/>
      <c r="AJ42" s="255">
        <v>0</v>
      </c>
      <c r="AK42" s="28">
        <f>($B42*AJ42)*(1+$B$5)</f>
        <v>0</v>
      </c>
      <c r="AL42" s="28">
        <v>0</v>
      </c>
      <c r="AM42" s="22"/>
      <c r="AN42" s="255">
        <v>0</v>
      </c>
      <c r="AO42" s="28">
        <f>($B42*AN42)*(1+$B$5)</f>
        <v>0</v>
      </c>
      <c r="AP42" s="28">
        <v>0</v>
      </c>
      <c r="AQ42" s="22"/>
      <c r="AR42" s="255">
        <v>0</v>
      </c>
      <c r="AS42" s="28">
        <f>($B42*AR42)*(1+$B$5)</f>
        <v>0</v>
      </c>
      <c r="AT42" s="28">
        <v>0</v>
      </c>
      <c r="AU42" s="22"/>
      <c r="AV42" s="255">
        <v>0</v>
      </c>
      <c r="AW42" s="28">
        <f>($B42*AV42)*(1+$B$5)</f>
        <v>0</v>
      </c>
      <c r="AX42" s="28">
        <v>0</v>
      </c>
      <c r="AY42" s="22"/>
      <c r="AZ42" s="255">
        <v>0</v>
      </c>
      <c r="BA42" s="28">
        <f>($B42*AZ42)*(1+$B$5)</f>
        <v>0</v>
      </c>
      <c r="BB42" s="28">
        <f>$C42*BA42*(1+$B$5)</f>
        <v>0</v>
      </c>
      <c r="BC42" s="22"/>
      <c r="BD42" s="255">
        <v>0</v>
      </c>
      <c r="BE42" s="28">
        <f>($B42*BD42)*(1+$B$5)</f>
        <v>0</v>
      </c>
      <c r="BF42" s="28">
        <f>$C42*BE42*(1+$B$5)</f>
        <v>0</v>
      </c>
      <c r="BG42" s="22"/>
      <c r="BH42" s="255">
        <v>0</v>
      </c>
      <c r="BI42" s="28">
        <f>($B42*BH42)*(1+$B$5)</f>
        <v>0</v>
      </c>
      <c r="BJ42" s="28">
        <f>$C42*BI42*(1+$B$5)</f>
        <v>0</v>
      </c>
      <c r="BK42" s="22"/>
      <c r="BL42" s="255">
        <v>0</v>
      </c>
      <c r="BM42" s="28">
        <f>($B42*BL42)*(1+$B$5)</f>
        <v>0</v>
      </c>
      <c r="BN42" s="28">
        <f>$C42*BM42*(1+$B$5)</f>
        <v>0</v>
      </c>
      <c r="BO42" s="22"/>
      <c r="BP42" s="255">
        <v>0</v>
      </c>
      <c r="BQ42" s="28">
        <f>($B42*BP42)*(1+$B$5)</f>
        <v>0</v>
      </c>
      <c r="BR42" s="28">
        <f>$C42*BQ42*(1+$B$5)</f>
        <v>0</v>
      </c>
      <c r="BS42" s="22"/>
      <c r="BT42" s="255">
        <v>0</v>
      </c>
      <c r="BU42" s="28">
        <f>($B42*BT42)*(1+$B$5)</f>
        <v>0</v>
      </c>
      <c r="BV42" s="28">
        <f>$C42*BU42*(1+$B$5)</f>
        <v>0</v>
      </c>
      <c r="BW42" s="22"/>
      <c r="BX42" s="255">
        <v>0</v>
      </c>
      <c r="BY42" s="6">
        <f>(B42*BX42)*(1+$B$5)</f>
        <v>0</v>
      </c>
      <c r="BZ42" s="28">
        <f>$C42*BY42*(1+$B$5)</f>
        <v>0</v>
      </c>
      <c r="CA42" s="22"/>
      <c r="CB42" s="264">
        <v>0</v>
      </c>
      <c r="CC42" s="3">
        <f>(B42*CB42)*(1+$B$5)</f>
        <v>0</v>
      </c>
      <c r="CD42" s="26">
        <f>CC42*C42*(1+$B$5)</f>
        <v>0</v>
      </c>
      <c r="CE42" s="22"/>
      <c r="CF42" s="264">
        <v>0</v>
      </c>
      <c r="CG42" s="3">
        <f>CF42*B42*(1+$CF$5)*(1+$B$5)</f>
        <v>0</v>
      </c>
      <c r="CH42" s="3">
        <f>CG42*C42*(1+$B$5)</f>
        <v>0</v>
      </c>
      <c r="CI42" s="22"/>
      <c r="CJ42" s="264">
        <v>0</v>
      </c>
      <c r="CK42" s="3">
        <f>CJ42*B42*(1+$CJ$5+$CF$5)*(1+$B$5)</f>
        <v>0</v>
      </c>
      <c r="CL42" s="3">
        <f>CK42*C42*(1+$B$5)</f>
        <v>0</v>
      </c>
    </row>
    <row r="43" spans="1:90" s="3" customFormat="1" ht="12.75">
      <c r="A43" s="3" t="s">
        <v>170</v>
      </c>
      <c r="B43" s="168">
        <v>65000</v>
      </c>
      <c r="C43" s="167">
        <v>0.25</v>
      </c>
      <c r="D43" s="255">
        <v>0</v>
      </c>
      <c r="E43" s="28">
        <f>($B43*D43)*(1+$B$5)</f>
        <v>0</v>
      </c>
      <c r="F43" s="28">
        <v>0</v>
      </c>
      <c r="G43" s="22"/>
      <c r="H43" s="255">
        <v>0</v>
      </c>
      <c r="I43" s="28">
        <f>($B43*H43)*(1+$B$5)</f>
        <v>0</v>
      </c>
      <c r="J43" s="28">
        <v>0</v>
      </c>
      <c r="K43" s="22"/>
      <c r="L43" s="255">
        <v>0</v>
      </c>
      <c r="M43" s="28">
        <f>($B43*L43)*(1+$B$5)</f>
        <v>0</v>
      </c>
      <c r="N43" s="28">
        <v>0</v>
      </c>
      <c r="O43" s="22"/>
      <c r="P43" s="255">
        <v>0</v>
      </c>
      <c r="Q43" s="28">
        <f>($B43*P43)*(1+$B$5)</f>
        <v>0</v>
      </c>
      <c r="R43" s="28">
        <v>0</v>
      </c>
      <c r="S43" s="22"/>
      <c r="T43" s="255">
        <v>0</v>
      </c>
      <c r="U43" s="28">
        <f>($B43*T43)*(1+$B$5)</f>
        <v>0</v>
      </c>
      <c r="V43" s="28">
        <v>0</v>
      </c>
      <c r="W43" s="22"/>
      <c r="X43" s="255">
        <v>0</v>
      </c>
      <c r="Y43" s="28">
        <f>($B43*X43)*(1+$B$5)</f>
        <v>0</v>
      </c>
      <c r="Z43" s="28">
        <v>0</v>
      </c>
      <c r="AA43" s="22"/>
      <c r="AB43" s="255">
        <v>0</v>
      </c>
      <c r="AC43" s="28">
        <f>($B43*AB43)*(1+$B$5)</f>
        <v>0</v>
      </c>
      <c r="AD43" s="28">
        <v>0</v>
      </c>
      <c r="AE43" s="22"/>
      <c r="AF43" s="255">
        <v>0</v>
      </c>
      <c r="AG43" s="28">
        <f>($B43*AF43)*(1+$B$5)</f>
        <v>0</v>
      </c>
      <c r="AH43" s="28">
        <v>0</v>
      </c>
      <c r="AI43" s="22"/>
      <c r="AJ43" s="255">
        <v>0</v>
      </c>
      <c r="AK43" s="28">
        <f>($B43*AJ43)*(1+$B$5)</f>
        <v>0</v>
      </c>
      <c r="AL43" s="28">
        <v>0</v>
      </c>
      <c r="AM43" s="22"/>
      <c r="AN43" s="255">
        <v>0</v>
      </c>
      <c r="AO43" s="28">
        <f>($B43*AN43)*(1+$B$5)</f>
        <v>0</v>
      </c>
      <c r="AP43" s="28">
        <v>0</v>
      </c>
      <c r="AQ43" s="22"/>
      <c r="AR43" s="255">
        <v>0</v>
      </c>
      <c r="AS43" s="28">
        <f>($B43*AR43)*(1+$B$5)</f>
        <v>0</v>
      </c>
      <c r="AT43" s="28">
        <v>0</v>
      </c>
      <c r="AU43" s="22"/>
      <c r="AV43" s="255">
        <v>0</v>
      </c>
      <c r="AW43" s="28">
        <f>($B43*AV43)*(1+$B$5)</f>
        <v>0</v>
      </c>
      <c r="AX43" s="28">
        <v>0</v>
      </c>
      <c r="AY43" s="22"/>
      <c r="AZ43" s="255">
        <v>0</v>
      </c>
      <c r="BA43" s="28">
        <f>($B43*AZ43)*(1+$B$5)</f>
        <v>0</v>
      </c>
      <c r="BB43" s="28">
        <f>$C43*BA43*(1+$B$5)</f>
        <v>0</v>
      </c>
      <c r="BC43" s="22"/>
      <c r="BD43" s="255">
        <v>0</v>
      </c>
      <c r="BE43" s="28">
        <f>($B43*BD43)*(1+$B$5)</f>
        <v>0</v>
      </c>
      <c r="BF43" s="28">
        <f>$C43*BE43*(1+$B$5)</f>
        <v>0</v>
      </c>
      <c r="BG43" s="22"/>
      <c r="BH43" s="255">
        <v>0</v>
      </c>
      <c r="BI43" s="28">
        <f>($B43*BH43)*(1+$B$5)</f>
        <v>0</v>
      </c>
      <c r="BJ43" s="28">
        <f>$C43*BI43*(1+$B$5)</f>
        <v>0</v>
      </c>
      <c r="BK43" s="22"/>
      <c r="BL43" s="255">
        <v>0</v>
      </c>
      <c r="BM43" s="28">
        <f>($B43*BL43)*(1+$B$5)</f>
        <v>0</v>
      </c>
      <c r="BN43" s="28">
        <f>$C43*BM43*(1+$B$5)</f>
        <v>0</v>
      </c>
      <c r="BO43" s="22"/>
      <c r="BP43" s="255">
        <v>0</v>
      </c>
      <c r="BQ43" s="28">
        <f>($B43*BP43)*(1+$B$5)</f>
        <v>0</v>
      </c>
      <c r="BR43" s="28">
        <f>$C43*BQ43*(1+$B$5)</f>
        <v>0</v>
      </c>
      <c r="BS43" s="22"/>
      <c r="BT43" s="255">
        <v>0</v>
      </c>
      <c r="BU43" s="28">
        <f>($B43*BT43)*(1+$B$5)</f>
        <v>0</v>
      </c>
      <c r="BV43" s="28">
        <f>$C43*BU43*(1+$B$5)</f>
        <v>0</v>
      </c>
      <c r="BW43" s="22"/>
      <c r="BX43" s="255">
        <v>0</v>
      </c>
      <c r="BY43" s="6">
        <f>(B43*BX43)*(1+$B$5)</f>
        <v>0</v>
      </c>
      <c r="BZ43" s="28">
        <f>$C43*BY43*(1+$B$5)</f>
        <v>0</v>
      </c>
      <c r="CA43" s="22"/>
      <c r="CB43" s="264">
        <v>0</v>
      </c>
      <c r="CC43" s="3">
        <f>(B43*CB43)*(1+$B$5)</f>
        <v>0</v>
      </c>
      <c r="CD43" s="26">
        <f>CC43*C43*(1+$B$5)</f>
        <v>0</v>
      </c>
      <c r="CE43" s="22"/>
      <c r="CF43" s="264">
        <v>0.5</v>
      </c>
      <c r="CG43" s="3">
        <f>CF43*B43*(1+$CF$5)*(1+$B$5)</f>
        <v>42656.25</v>
      </c>
      <c r="CH43" s="3">
        <f>CG43*C43*(1+$B$5)</f>
        <v>13330.078125</v>
      </c>
      <c r="CI43" s="22"/>
      <c r="CJ43" s="264">
        <v>1</v>
      </c>
      <c r="CK43" s="3">
        <f>CJ43*B43*(1+$CJ$5+$CF$5)*(1+$B$5)</f>
        <v>89375</v>
      </c>
      <c r="CL43" s="3">
        <f>CK43*C43*(1+$B$5)</f>
        <v>27929.6875</v>
      </c>
    </row>
    <row r="44" spans="1:90" s="170" customFormat="1" ht="12.75">
      <c r="A44" s="170" t="s">
        <v>200</v>
      </c>
      <c r="B44" s="247">
        <v>45000</v>
      </c>
      <c r="C44" s="248"/>
      <c r="D44" s="256">
        <v>0</v>
      </c>
      <c r="E44" s="203">
        <f>($B44*D44)*(1+$B$5)</f>
        <v>0</v>
      </c>
      <c r="F44" s="203">
        <v>0</v>
      </c>
      <c r="G44" s="95"/>
      <c r="H44" s="256">
        <v>0</v>
      </c>
      <c r="I44" s="203">
        <f>($B44*H44)*(1+$B$5)</f>
        <v>0</v>
      </c>
      <c r="J44" s="203">
        <v>0</v>
      </c>
      <c r="K44" s="95"/>
      <c r="L44" s="256">
        <v>0</v>
      </c>
      <c r="M44" s="203">
        <f>($B44*L44)*(1+$B$5)</f>
        <v>0</v>
      </c>
      <c r="N44" s="203">
        <v>0</v>
      </c>
      <c r="O44" s="95"/>
      <c r="P44" s="256">
        <v>0</v>
      </c>
      <c r="Q44" s="203">
        <f>($B44*P44)*(1+$B$5)</f>
        <v>0</v>
      </c>
      <c r="R44" s="203">
        <v>0</v>
      </c>
      <c r="S44" s="95"/>
      <c r="T44" s="256">
        <v>0</v>
      </c>
      <c r="U44" s="203">
        <f>($B44*T44)*(1+$B$5)</f>
        <v>0</v>
      </c>
      <c r="V44" s="203">
        <v>0</v>
      </c>
      <c r="W44" s="95"/>
      <c r="X44" s="256">
        <v>0</v>
      </c>
      <c r="Y44" s="203">
        <f>($B44*X44)*(1+$B$5)</f>
        <v>0</v>
      </c>
      <c r="Z44" s="203">
        <v>0</v>
      </c>
      <c r="AA44" s="95"/>
      <c r="AB44" s="256">
        <v>0</v>
      </c>
      <c r="AC44" s="203">
        <f>($B44*AB44)*(1+$B$5)</f>
        <v>0</v>
      </c>
      <c r="AD44" s="203">
        <v>0</v>
      </c>
      <c r="AE44" s="95"/>
      <c r="AF44" s="256">
        <v>0</v>
      </c>
      <c r="AG44" s="203">
        <f>($B44*AF44)*(1+$B$5)</f>
        <v>0</v>
      </c>
      <c r="AH44" s="203">
        <v>0</v>
      </c>
      <c r="AI44" s="95"/>
      <c r="AJ44" s="256">
        <v>0</v>
      </c>
      <c r="AK44" s="203">
        <f>($B44*AJ44)*(1+$B$5)</f>
        <v>0</v>
      </c>
      <c r="AL44" s="203">
        <v>0</v>
      </c>
      <c r="AM44" s="95"/>
      <c r="AN44" s="256">
        <v>0</v>
      </c>
      <c r="AO44" s="203">
        <f>($B44*AN44)*(1+$B$5)</f>
        <v>0</v>
      </c>
      <c r="AP44" s="203">
        <v>0</v>
      </c>
      <c r="AQ44" s="95"/>
      <c r="AR44" s="256">
        <v>0</v>
      </c>
      <c r="AS44" s="203">
        <f>($B44*AR44)*(1+$B$5)</f>
        <v>0</v>
      </c>
      <c r="AT44" s="203">
        <v>0</v>
      </c>
      <c r="AU44" s="95"/>
      <c r="AV44" s="256">
        <v>0</v>
      </c>
      <c r="AW44" s="203">
        <f>($B44*AV44)*(1+$B$5)</f>
        <v>0</v>
      </c>
      <c r="AX44" s="203">
        <v>0</v>
      </c>
      <c r="AY44" s="95"/>
      <c r="AZ44" s="256">
        <v>0</v>
      </c>
      <c r="BA44" s="203">
        <f>($B44*AZ44)*(1+$B$5)</f>
        <v>0</v>
      </c>
      <c r="BB44" s="203">
        <f>$C44*BA44*(1+$B$5)</f>
        <v>0</v>
      </c>
      <c r="BC44" s="95"/>
      <c r="BD44" s="256">
        <v>0</v>
      </c>
      <c r="BE44" s="203">
        <f>($B44*BD44)*(1+$B$5)</f>
        <v>0</v>
      </c>
      <c r="BF44" s="203">
        <f>$C44*BE44*(1+$B$5)</f>
        <v>0</v>
      </c>
      <c r="BG44" s="95"/>
      <c r="BH44" s="256">
        <v>0</v>
      </c>
      <c r="BI44" s="203">
        <f>($B44*BH44)*(1+$B$5)</f>
        <v>0</v>
      </c>
      <c r="BJ44" s="203">
        <f>$C44*BI44*(1+$B$5)</f>
        <v>0</v>
      </c>
      <c r="BK44" s="95"/>
      <c r="BL44" s="256">
        <v>0</v>
      </c>
      <c r="BM44" s="203">
        <f>($B44*BL44)*(1+$B$5)</f>
        <v>0</v>
      </c>
      <c r="BN44" s="203">
        <f>$C44*BM44*(1+$B$5)</f>
        <v>0</v>
      </c>
      <c r="BO44" s="95"/>
      <c r="BP44" s="256">
        <v>0</v>
      </c>
      <c r="BQ44" s="203">
        <f>($B44*BP44)*(1+$B$5)</f>
        <v>0</v>
      </c>
      <c r="BR44" s="203">
        <f>$C44*BQ44*(1+$B$5)</f>
        <v>0</v>
      </c>
      <c r="BS44" s="95"/>
      <c r="BT44" s="256">
        <v>0</v>
      </c>
      <c r="BU44" s="203">
        <f>($B44*BT44)*(1+$B$5)</f>
        <v>0</v>
      </c>
      <c r="BV44" s="203">
        <f>$C44*BU44*(1+$B$5)</f>
        <v>0</v>
      </c>
      <c r="BW44" s="95"/>
      <c r="BX44" s="256">
        <v>0</v>
      </c>
      <c r="BY44" s="170">
        <f>(B44*BX44)*(1+$B$5)</f>
        <v>0</v>
      </c>
      <c r="BZ44" s="203">
        <f>$C44*BY44*(1+$B$5)</f>
        <v>0</v>
      </c>
      <c r="CA44" s="95"/>
      <c r="CB44" s="265">
        <v>0</v>
      </c>
      <c r="CC44" s="170">
        <f>(B44*CB44)*(1+$B$5)</f>
        <v>0</v>
      </c>
      <c r="CD44" s="194">
        <f>CC44*C44*(1+$B$5)</f>
        <v>0</v>
      </c>
      <c r="CE44" s="95"/>
      <c r="CF44" s="265">
        <v>0</v>
      </c>
      <c r="CG44" s="170">
        <f>CF44*B44*(1+$CF$5)*(1+$B$5)</f>
        <v>0</v>
      </c>
      <c r="CH44" s="170">
        <f>CG44*C44*(1+$B$5)</f>
        <v>0</v>
      </c>
      <c r="CI44" s="95"/>
      <c r="CJ44" s="265">
        <v>0</v>
      </c>
      <c r="CK44" s="170">
        <f>CJ44*B44*(1+$CJ$5+$CF$5)*(1+$B$5)</f>
        <v>0</v>
      </c>
      <c r="CL44" s="170">
        <f>CK44*C44*(1+$B$5)</f>
        <v>0</v>
      </c>
    </row>
    <row r="45" spans="4:90" s="3" customFormat="1" ht="12.75">
      <c r="D45" s="258">
        <f>SUM(D42:D44)</f>
        <v>0</v>
      </c>
      <c r="E45" s="3">
        <f>SUM(E42:E44)</f>
        <v>0</v>
      </c>
      <c r="F45" s="3">
        <f>SUM(F42:F44)</f>
        <v>0</v>
      </c>
      <c r="H45" s="258">
        <f>SUM(H42:H44)</f>
        <v>0</v>
      </c>
      <c r="I45" s="3">
        <f>SUM(I42:I44)</f>
        <v>0</v>
      </c>
      <c r="J45" s="3">
        <f>SUM(J42:J44)</f>
        <v>0</v>
      </c>
      <c r="L45" s="258">
        <f>SUM(L42:L44)</f>
        <v>0</v>
      </c>
      <c r="M45" s="3">
        <f>SUM(M42:M44)</f>
        <v>0</v>
      </c>
      <c r="N45" s="3">
        <f>SUM(N42:N44)</f>
        <v>0</v>
      </c>
      <c r="P45" s="258">
        <f>SUM(P42:P44)</f>
        <v>0</v>
      </c>
      <c r="Q45" s="3">
        <f>SUM(Q42:Q44)</f>
        <v>0</v>
      </c>
      <c r="R45" s="3">
        <f>SUM(R42:R44)</f>
        <v>0</v>
      </c>
      <c r="T45" s="258">
        <f>SUM(T42:T44)</f>
        <v>0</v>
      </c>
      <c r="U45" s="3">
        <f>SUM(U42:U44)</f>
        <v>0</v>
      </c>
      <c r="V45" s="3">
        <f>SUM(V42:V44)</f>
        <v>0</v>
      </c>
      <c r="X45" s="258">
        <f>SUM(X42:X44)</f>
        <v>0</v>
      </c>
      <c r="Y45" s="3">
        <f>SUM(Y42:Y44)</f>
        <v>0</v>
      </c>
      <c r="Z45" s="3">
        <f>SUM(Z42:Z44)</f>
        <v>0</v>
      </c>
      <c r="AB45" s="258">
        <f>SUM(AB42:AB44)</f>
        <v>0</v>
      </c>
      <c r="AC45" s="3">
        <f>SUM(AC42:AC44)</f>
        <v>0</v>
      </c>
      <c r="AD45" s="3">
        <f>SUM(AD42:AD44)</f>
        <v>0</v>
      </c>
      <c r="AF45" s="258">
        <f>SUM(AF42:AF44)</f>
        <v>0</v>
      </c>
      <c r="AG45" s="3">
        <f>SUM(AG42:AG44)</f>
        <v>0</v>
      </c>
      <c r="AH45" s="3">
        <f>SUM(AH42:AH44)</f>
        <v>0</v>
      </c>
      <c r="AJ45" s="258">
        <f>SUM(AJ42:AJ44)</f>
        <v>0</v>
      </c>
      <c r="AK45" s="3">
        <f>SUM(AK42:AK44)</f>
        <v>0</v>
      </c>
      <c r="AL45" s="3">
        <f>SUM(AL42:AL44)</f>
        <v>0</v>
      </c>
      <c r="AN45" s="258">
        <f>SUM(AN42:AN44)</f>
        <v>0</v>
      </c>
      <c r="AO45" s="3">
        <f>SUM(AO42:AO44)</f>
        <v>0</v>
      </c>
      <c r="AP45" s="3">
        <f>SUM(AP42:AP44)</f>
        <v>0</v>
      </c>
      <c r="AR45" s="258">
        <f>SUM(AR42:AR44)</f>
        <v>0</v>
      </c>
      <c r="AS45" s="3">
        <f>SUM(AS42:AS44)</f>
        <v>0</v>
      </c>
      <c r="AT45" s="3">
        <f>SUM(AT42:AT44)</f>
        <v>0</v>
      </c>
      <c r="AV45" s="258">
        <f>SUM(AV42:AV44)</f>
        <v>0</v>
      </c>
      <c r="AW45" s="3">
        <f>SUM(AW42:AW44)</f>
        <v>0</v>
      </c>
      <c r="AX45" s="3">
        <f>SUM(AX42:AX44)</f>
        <v>0</v>
      </c>
      <c r="AZ45" s="258">
        <f>SUM(AZ42:AZ44)</f>
        <v>0</v>
      </c>
      <c r="BA45" s="3">
        <f>SUM(BA42:BA44)</f>
        <v>0</v>
      </c>
      <c r="BB45" s="3">
        <f>SUM(BB42:BB44)</f>
        <v>0</v>
      </c>
      <c r="BD45" s="258">
        <f>SUM(BD42:BD44)</f>
        <v>0</v>
      </c>
      <c r="BE45" s="3">
        <f>SUM(BE42:BE44)</f>
        <v>0</v>
      </c>
      <c r="BF45" s="3">
        <f>SUM(BF42:BF44)</f>
        <v>0</v>
      </c>
      <c r="BH45" s="258">
        <f>SUM(BH42:BH44)</f>
        <v>0</v>
      </c>
      <c r="BI45" s="3">
        <f>SUM(BI42:BI44)</f>
        <v>0</v>
      </c>
      <c r="BJ45" s="3">
        <f>SUM(BJ42:BJ44)</f>
        <v>0</v>
      </c>
      <c r="BL45" s="258">
        <f>SUM(BL42:BL44)</f>
        <v>0</v>
      </c>
      <c r="BM45" s="3">
        <f>SUM(BM42:BM44)</f>
        <v>0</v>
      </c>
      <c r="BN45" s="3">
        <f>SUM(BN42:BN44)</f>
        <v>0</v>
      </c>
      <c r="BP45" s="258">
        <f>SUM(BP42:BP44)</f>
        <v>0</v>
      </c>
      <c r="BQ45" s="3">
        <f>SUM(BQ42:BQ44)</f>
        <v>0</v>
      </c>
      <c r="BR45" s="3">
        <f>SUM(BR42:BR44)</f>
        <v>0</v>
      </c>
      <c r="BT45" s="258">
        <f>SUM(BT42:BT44)</f>
        <v>0</v>
      </c>
      <c r="BU45" s="3">
        <f>SUM(BU42:BU44)</f>
        <v>0</v>
      </c>
      <c r="BV45" s="3">
        <f>SUM(BV42:BV44)</f>
        <v>0</v>
      </c>
      <c r="BX45" s="258">
        <f>SUM(BX42:BX44)</f>
        <v>0</v>
      </c>
      <c r="BY45" s="6">
        <f>SUM(BY42:BY44)</f>
        <v>0</v>
      </c>
      <c r="BZ45" s="3">
        <f>SUM(BZ42:BZ44)</f>
        <v>0</v>
      </c>
      <c r="CB45" s="196">
        <f>SUM(CB42:CB44)</f>
        <v>0</v>
      </c>
      <c r="CC45" s="3">
        <f>SUM(CC42:CC44)</f>
        <v>0</v>
      </c>
      <c r="CD45" s="3">
        <f>SUM(CD42:CD44)</f>
        <v>0</v>
      </c>
      <c r="CF45" s="196">
        <f>SUM(CF42:CF44)</f>
        <v>0.5</v>
      </c>
      <c r="CH45" s="3">
        <f>SUM(CH42:CH44)</f>
        <v>13330.078125</v>
      </c>
      <c r="CJ45" s="196">
        <f>SUM(CJ42:CJ44)</f>
        <v>1</v>
      </c>
      <c r="CK45" s="3">
        <f>SUM(CK42:CK44)</f>
        <v>89375</v>
      </c>
      <c r="CL45" s="3">
        <f>SUM(CL42:CL44)</f>
        <v>27929.6875</v>
      </c>
    </row>
    <row r="46" spans="1:90" s="3" customFormat="1" ht="12.75">
      <c r="A46" s="4" t="s">
        <v>241</v>
      </c>
      <c r="B46" s="166"/>
      <c r="C46" s="167"/>
      <c r="D46" s="257"/>
      <c r="E46" s="22"/>
      <c r="F46" s="22"/>
      <c r="G46" s="22"/>
      <c r="H46" s="257"/>
      <c r="I46" s="22"/>
      <c r="J46" s="22"/>
      <c r="K46" s="22"/>
      <c r="L46" s="257"/>
      <c r="M46" s="22"/>
      <c r="N46" s="22"/>
      <c r="O46" s="22"/>
      <c r="P46" s="257"/>
      <c r="Q46" s="22"/>
      <c r="R46" s="22"/>
      <c r="S46" s="22"/>
      <c r="T46" s="257"/>
      <c r="U46" s="22"/>
      <c r="V46" s="22"/>
      <c r="W46" s="22"/>
      <c r="X46" s="257"/>
      <c r="Y46" s="22"/>
      <c r="Z46" s="22"/>
      <c r="AA46" s="22"/>
      <c r="AB46" s="257"/>
      <c r="AC46" s="22"/>
      <c r="AD46" s="22"/>
      <c r="AE46" s="22"/>
      <c r="AF46" s="257"/>
      <c r="AG46" s="22"/>
      <c r="AH46" s="22"/>
      <c r="AI46" s="22"/>
      <c r="AJ46" s="257"/>
      <c r="AK46" s="22"/>
      <c r="AL46" s="22"/>
      <c r="AM46" s="22"/>
      <c r="AN46" s="257"/>
      <c r="AO46" s="22"/>
      <c r="AP46" s="22"/>
      <c r="AQ46" s="22"/>
      <c r="AR46" s="257"/>
      <c r="AS46" s="22"/>
      <c r="AT46" s="22"/>
      <c r="AU46" s="22"/>
      <c r="AV46" s="257"/>
      <c r="AW46" s="22"/>
      <c r="AX46" s="22"/>
      <c r="AY46" s="22"/>
      <c r="AZ46" s="257"/>
      <c r="BA46" s="22"/>
      <c r="BB46" s="22"/>
      <c r="BC46" s="22"/>
      <c r="BD46" s="257"/>
      <c r="BE46" s="22"/>
      <c r="BF46" s="22"/>
      <c r="BG46" s="22"/>
      <c r="BH46" s="257"/>
      <c r="BI46" s="22"/>
      <c r="BJ46" s="22"/>
      <c r="BK46" s="22"/>
      <c r="BL46" s="257"/>
      <c r="BM46" s="22"/>
      <c r="BN46" s="22"/>
      <c r="BO46" s="22"/>
      <c r="BP46" s="257"/>
      <c r="BQ46" s="22"/>
      <c r="BR46" s="22"/>
      <c r="BS46" s="22"/>
      <c r="BT46" s="257"/>
      <c r="BU46" s="22"/>
      <c r="BV46" s="22"/>
      <c r="BW46" s="22"/>
      <c r="BX46" s="257"/>
      <c r="BY46" s="267"/>
      <c r="BZ46" s="22"/>
      <c r="CA46" s="22"/>
      <c r="CB46" s="262"/>
      <c r="CC46" s="22"/>
      <c r="CD46" s="22"/>
      <c r="CE46" s="22"/>
      <c r="CF46" s="262"/>
      <c r="CG46" s="22"/>
      <c r="CH46" s="22"/>
      <c r="CI46" s="22"/>
      <c r="CJ46" s="262"/>
      <c r="CK46" s="22"/>
      <c r="CL46" s="22"/>
    </row>
    <row r="47" spans="1:90" s="3" customFormat="1" ht="12.75">
      <c r="A47" s="3" t="s">
        <v>169</v>
      </c>
      <c r="B47" s="168">
        <v>100000</v>
      </c>
      <c r="C47" s="167">
        <v>0.4</v>
      </c>
      <c r="D47" s="255">
        <v>0</v>
      </c>
      <c r="E47" s="28">
        <f>($B47*D47)*(1+$B$5)</f>
        <v>0</v>
      </c>
      <c r="F47" s="28">
        <v>0</v>
      </c>
      <c r="G47" s="22"/>
      <c r="H47" s="255">
        <v>0.01</v>
      </c>
      <c r="I47" s="28">
        <f>($B47*H47)*(1+$B$5)</f>
        <v>1250</v>
      </c>
      <c r="J47" s="28">
        <v>0</v>
      </c>
      <c r="K47" s="22"/>
      <c r="L47" s="255">
        <v>0.01</v>
      </c>
      <c r="M47" s="28">
        <f>($B47*L47)*(1+$B$5)</f>
        <v>1250</v>
      </c>
      <c r="N47" s="28">
        <v>0</v>
      </c>
      <c r="O47" s="22"/>
      <c r="P47" s="255">
        <v>0.01</v>
      </c>
      <c r="Q47" s="28">
        <f>($B47*P47)*(1+$B$5)</f>
        <v>1250</v>
      </c>
      <c r="R47" s="28">
        <v>0</v>
      </c>
      <c r="S47" s="22"/>
      <c r="T47" s="255">
        <v>0.01</v>
      </c>
      <c r="U47" s="28">
        <f>($B47*T47)*(1+$B$5)</f>
        <v>1250</v>
      </c>
      <c r="V47" s="28">
        <v>0</v>
      </c>
      <c r="W47" s="22"/>
      <c r="X47" s="255">
        <v>0.01</v>
      </c>
      <c r="Y47" s="28">
        <f>($B47*X47)*(1+$B$5)</f>
        <v>1250</v>
      </c>
      <c r="Z47" s="28">
        <v>0</v>
      </c>
      <c r="AA47" s="22"/>
      <c r="AB47" s="255">
        <v>0.03</v>
      </c>
      <c r="AC47" s="28">
        <f>($B47*AB47)*(1+$B$5)</f>
        <v>3750</v>
      </c>
      <c r="AD47" s="28">
        <v>0</v>
      </c>
      <c r="AE47" s="22"/>
      <c r="AF47" s="255">
        <v>0.03</v>
      </c>
      <c r="AG47" s="28">
        <f>($B47*AF47)*(1+$B$5)</f>
        <v>3750</v>
      </c>
      <c r="AH47" s="28">
        <v>0</v>
      </c>
      <c r="AI47" s="22"/>
      <c r="AJ47" s="255">
        <v>0.03</v>
      </c>
      <c r="AK47" s="28">
        <f>($B47*AJ47)*(1+$B$5)</f>
        <v>3750</v>
      </c>
      <c r="AL47" s="28">
        <v>0</v>
      </c>
      <c r="AM47" s="22"/>
      <c r="AN47" s="255">
        <v>0.05</v>
      </c>
      <c r="AO47" s="28">
        <f>($B47*AN47)*(1+$B$5)</f>
        <v>6250</v>
      </c>
      <c r="AP47" s="28">
        <v>0</v>
      </c>
      <c r="AQ47" s="22"/>
      <c r="AR47" s="255">
        <v>0.05</v>
      </c>
      <c r="AS47" s="28">
        <f>($B47*AR47)*(1+$B$5)</f>
        <v>6250</v>
      </c>
      <c r="AT47" s="28">
        <v>0</v>
      </c>
      <c r="AU47" s="22"/>
      <c r="AV47" s="255">
        <v>0.05</v>
      </c>
      <c r="AW47" s="28">
        <f>($B47*AV47)*(1+$B$5)</f>
        <v>6250</v>
      </c>
      <c r="AX47" s="28">
        <v>0</v>
      </c>
      <c r="AY47" s="22"/>
      <c r="AZ47" s="255">
        <v>0.0833</v>
      </c>
      <c r="BA47" s="28">
        <f>($B47*AZ47)*(1+$B$5)</f>
        <v>10412.5</v>
      </c>
      <c r="BB47" s="28">
        <f>$C47*BA47*(1+$B$5)</f>
        <v>5206.25</v>
      </c>
      <c r="BC47" s="22"/>
      <c r="BD47" s="255">
        <v>0.0833</v>
      </c>
      <c r="BE47" s="28">
        <f>($B47*BD47)*(1+$B$5)</f>
        <v>10412.5</v>
      </c>
      <c r="BF47" s="28">
        <f>$C47*BE47*(1+$B$5)</f>
        <v>5206.25</v>
      </c>
      <c r="BG47" s="22"/>
      <c r="BH47" s="255">
        <v>0.0833</v>
      </c>
      <c r="BI47" s="28">
        <f>($B47*BH47)*(1+$B$5)</f>
        <v>10412.5</v>
      </c>
      <c r="BJ47" s="28">
        <f>$C47*BI47*(1+$B$5)</f>
        <v>5206.25</v>
      </c>
      <c r="BK47" s="22"/>
      <c r="BL47" s="255">
        <v>0.0833</v>
      </c>
      <c r="BM47" s="28">
        <f>($B47*BL47)*(1+$B$5)</f>
        <v>10412.5</v>
      </c>
      <c r="BN47" s="28">
        <f>$C47*BM47*(1+$B$5)</f>
        <v>5206.25</v>
      </c>
      <c r="BO47" s="22"/>
      <c r="BP47" s="255">
        <v>0.0833</v>
      </c>
      <c r="BQ47" s="28">
        <f>($B47*BP47)*(1+$B$5)</f>
        <v>10412.5</v>
      </c>
      <c r="BR47" s="28">
        <f>$C47*BQ47*(1+$B$5)</f>
        <v>5206.25</v>
      </c>
      <c r="BS47" s="22"/>
      <c r="BT47" s="255">
        <v>0.0833</v>
      </c>
      <c r="BU47" s="28">
        <f>($B47*BT47)*(1+$B$5)</f>
        <v>10412.5</v>
      </c>
      <c r="BV47" s="28">
        <f>$C47*BU47*(1+$B$5)</f>
        <v>5206.25</v>
      </c>
      <c r="BW47" s="22"/>
      <c r="BX47" s="255">
        <v>0.5</v>
      </c>
      <c r="BY47" s="6">
        <f>(B47*BX47)*(1+$B$5)</f>
        <v>62500</v>
      </c>
      <c r="BZ47" s="28">
        <f>$C47*BY47*(1+$B$5)</f>
        <v>31250</v>
      </c>
      <c r="CA47" s="22"/>
      <c r="CB47" s="264">
        <v>1</v>
      </c>
      <c r="CC47" s="3">
        <f>(B47*CB47)*(1+$B$5)</f>
        <v>125000</v>
      </c>
      <c r="CD47" s="3">
        <f>CC47*C47*(1+$B$5)</f>
        <v>62500</v>
      </c>
      <c r="CE47" s="22"/>
      <c r="CF47" s="264">
        <v>1</v>
      </c>
      <c r="CG47" s="3">
        <f>CF47*B47*(1+$CF$5)*(1+$B$5)</f>
        <v>131250</v>
      </c>
      <c r="CH47" s="3">
        <f>CG47*C47*(1+$B$5)</f>
        <v>65625</v>
      </c>
      <c r="CI47" s="22"/>
      <c r="CJ47" s="264">
        <v>1</v>
      </c>
      <c r="CK47" s="3">
        <f>CJ47*B47*(1+$CJ$5+$CF$5)*(1+$B$5)</f>
        <v>137500.00000000003</v>
      </c>
      <c r="CL47" s="3">
        <f>CK47*C47*(1+$B$5)</f>
        <v>68750.00000000001</v>
      </c>
    </row>
    <row r="48" spans="1:90" s="3" customFormat="1" ht="12.75">
      <c r="A48" s="171" t="s">
        <v>252</v>
      </c>
      <c r="B48" s="168">
        <v>120000</v>
      </c>
      <c r="C48" s="167">
        <v>0.2</v>
      </c>
      <c r="D48" s="255">
        <v>0.08</v>
      </c>
      <c r="E48" s="28">
        <f>($B48*D48)*(1+$B$5)</f>
        <v>12000</v>
      </c>
      <c r="F48" s="28">
        <v>0</v>
      </c>
      <c r="G48" s="22"/>
      <c r="H48" s="255">
        <v>0.0833</v>
      </c>
      <c r="I48" s="28">
        <f>($B48*H48)*(1+$B$5)</f>
        <v>12495</v>
      </c>
      <c r="J48" s="28">
        <v>0</v>
      </c>
      <c r="K48" s="22"/>
      <c r="L48" s="255">
        <v>0.0833</v>
      </c>
      <c r="M48" s="28">
        <f>($B48*L48)*(1+$B$5)</f>
        <v>12495</v>
      </c>
      <c r="N48" s="28">
        <v>0</v>
      </c>
      <c r="O48" s="22"/>
      <c r="P48" s="255">
        <v>0.0833</v>
      </c>
      <c r="Q48" s="28">
        <f>($B48*P48)*(1+$B$5)</f>
        <v>12495</v>
      </c>
      <c r="R48" s="28">
        <v>0</v>
      </c>
      <c r="S48" s="22"/>
      <c r="T48" s="255">
        <v>0.0833</v>
      </c>
      <c r="U48" s="28">
        <f>($B48*T48)*(1+$B$5)</f>
        <v>12495</v>
      </c>
      <c r="V48" s="28">
        <v>0</v>
      </c>
      <c r="W48" s="22"/>
      <c r="X48" s="255">
        <v>0.0833</v>
      </c>
      <c r="Y48" s="28">
        <f>($B48*X48)*(1+$B$5)</f>
        <v>12495</v>
      </c>
      <c r="Z48" s="28">
        <v>0</v>
      </c>
      <c r="AA48" s="22"/>
      <c r="AB48" s="255">
        <v>0.0833</v>
      </c>
      <c r="AC48" s="28">
        <f>($B48*AB48)*(1+$B$5)</f>
        <v>12495</v>
      </c>
      <c r="AD48" s="28">
        <v>0</v>
      </c>
      <c r="AE48" s="22"/>
      <c r="AF48" s="255">
        <v>0.0833</v>
      </c>
      <c r="AG48" s="28">
        <f>($B48*AF48)*(1+$B$5)</f>
        <v>12495</v>
      </c>
      <c r="AH48" s="28">
        <v>0</v>
      </c>
      <c r="AI48" s="22"/>
      <c r="AJ48" s="255">
        <v>0.0833</v>
      </c>
      <c r="AK48" s="28">
        <f>($B48*AJ48)*(1+$B$5)</f>
        <v>12495</v>
      </c>
      <c r="AL48" s="28">
        <v>0</v>
      </c>
      <c r="AM48" s="22"/>
      <c r="AN48" s="255">
        <v>0.0833</v>
      </c>
      <c r="AO48" s="28">
        <f>($B48*AN48)*(1+$B$5)</f>
        <v>12495</v>
      </c>
      <c r="AP48" s="28">
        <v>0</v>
      </c>
      <c r="AQ48" s="22"/>
      <c r="AR48" s="255">
        <v>0.0833</v>
      </c>
      <c r="AS48" s="28">
        <f>($B48*AR48)*(1+$B$5)</f>
        <v>12495</v>
      </c>
      <c r="AT48" s="28">
        <v>0</v>
      </c>
      <c r="AU48" s="22"/>
      <c r="AV48" s="255">
        <v>0.0833</v>
      </c>
      <c r="AW48" s="28">
        <f>($B48*AV48)*(1+$B$5)</f>
        <v>12495</v>
      </c>
      <c r="AX48" s="28">
        <v>0</v>
      </c>
      <c r="AY48" s="22"/>
      <c r="AZ48" s="255">
        <v>0.0833</v>
      </c>
      <c r="BA48" s="28">
        <f>($B48*AZ48)*(1+$B$5)</f>
        <v>12495</v>
      </c>
      <c r="BB48" s="28">
        <f>$C48*BA48*(1+$B$5)</f>
        <v>3123.75</v>
      </c>
      <c r="BC48" s="22"/>
      <c r="BD48" s="255">
        <v>0.0833</v>
      </c>
      <c r="BE48" s="28">
        <f>($B48*BD48)*(1+$B$5)</f>
        <v>12495</v>
      </c>
      <c r="BF48" s="28">
        <f>$C48*BE48*(1+$B$5)</f>
        <v>3123.75</v>
      </c>
      <c r="BG48" s="22"/>
      <c r="BH48" s="255">
        <v>0.0833</v>
      </c>
      <c r="BI48" s="28">
        <f>($B48*BH48)*(1+$B$5)</f>
        <v>12495</v>
      </c>
      <c r="BJ48" s="28">
        <f>$C48*BI48*(1+$B$5)</f>
        <v>3123.75</v>
      </c>
      <c r="BK48" s="22"/>
      <c r="BL48" s="255">
        <v>0.0833</v>
      </c>
      <c r="BM48" s="28">
        <f>($B48*BL48)*(1+$B$5)</f>
        <v>12495</v>
      </c>
      <c r="BN48" s="28">
        <f>$C48*BM48*(1+$B$5)</f>
        <v>3123.75</v>
      </c>
      <c r="BO48" s="22"/>
      <c r="BP48" s="255">
        <v>0.0833</v>
      </c>
      <c r="BQ48" s="28">
        <f>($B48*BP48)*(1+$B$5)</f>
        <v>12495</v>
      </c>
      <c r="BR48" s="28">
        <f>$C48*BQ48*(1+$B$5)</f>
        <v>3123.75</v>
      </c>
      <c r="BS48" s="22"/>
      <c r="BT48" s="255">
        <v>0.0833</v>
      </c>
      <c r="BU48" s="28">
        <f>($B48*BT48)*(1+$B$5)</f>
        <v>12495</v>
      </c>
      <c r="BV48" s="28">
        <f>$C48*BU48*(1+$B$5)</f>
        <v>3123.75</v>
      </c>
      <c r="BW48" s="22"/>
      <c r="BX48" s="255">
        <v>0.5</v>
      </c>
      <c r="BY48" s="6">
        <f>(B48*BX48)*(1+$B$5)</f>
        <v>75000</v>
      </c>
      <c r="BZ48" s="28">
        <f>$C48*BY48*(1+$B$5)</f>
        <v>18750</v>
      </c>
      <c r="CA48" s="22"/>
      <c r="CB48" s="264">
        <v>2</v>
      </c>
      <c r="CC48" s="3">
        <f>(B48*CB48)*(1+$B$5)</f>
        <v>300000</v>
      </c>
      <c r="CD48" s="3">
        <f>CC48*C48*(1+$B$5)</f>
        <v>75000</v>
      </c>
      <c r="CE48" s="22"/>
      <c r="CF48" s="264">
        <v>1.5</v>
      </c>
      <c r="CG48" s="3">
        <f>CF48*B48*(1+$CF$5)*(1+$B$5)</f>
        <v>236250</v>
      </c>
      <c r="CH48" s="3">
        <f>CG48*C48*(1+$B$5)</f>
        <v>59062.5</v>
      </c>
      <c r="CI48" s="22"/>
      <c r="CJ48" s="264">
        <v>2</v>
      </c>
      <c r="CK48" s="3">
        <f>CJ48*B48*(1+$CJ$5+$CF$5)*(1+$B$5)</f>
        <v>330000</v>
      </c>
      <c r="CL48" s="3">
        <f>CK48*C48*(1+$B$5)</f>
        <v>82500</v>
      </c>
    </row>
    <row r="49" spans="1:90" s="3" customFormat="1" ht="12.75">
      <c r="A49" s="3" t="s">
        <v>170</v>
      </c>
      <c r="B49" s="168">
        <v>75000</v>
      </c>
      <c r="C49" s="167">
        <v>0.25</v>
      </c>
      <c r="D49" s="255">
        <v>0</v>
      </c>
      <c r="E49" s="28">
        <f>($B49*D49)*(1+$B$5)</f>
        <v>0</v>
      </c>
      <c r="F49" s="28">
        <v>0</v>
      </c>
      <c r="G49" s="22"/>
      <c r="H49" s="255">
        <v>0.01</v>
      </c>
      <c r="I49" s="28">
        <f>($B49*H49)*(1+$B$5)</f>
        <v>937.5</v>
      </c>
      <c r="J49" s="28">
        <v>0</v>
      </c>
      <c r="K49" s="22"/>
      <c r="L49" s="255">
        <v>0.01</v>
      </c>
      <c r="M49" s="28">
        <f>($B49*L49)*(1+$B$5)</f>
        <v>937.5</v>
      </c>
      <c r="N49" s="28">
        <v>0</v>
      </c>
      <c r="O49" s="22"/>
      <c r="P49" s="255">
        <v>0.01</v>
      </c>
      <c r="Q49" s="28">
        <f>($B49*P49)*(1+$B$5)</f>
        <v>937.5</v>
      </c>
      <c r="R49" s="28">
        <v>0</v>
      </c>
      <c r="S49" s="22"/>
      <c r="T49" s="255">
        <v>0.01</v>
      </c>
      <c r="U49" s="28">
        <f>($B49*T49)*(1+$B$5)</f>
        <v>937.5</v>
      </c>
      <c r="V49" s="28">
        <v>0</v>
      </c>
      <c r="W49" s="22"/>
      <c r="X49" s="255">
        <v>0.01</v>
      </c>
      <c r="Y49" s="28">
        <f>($B49*X49)*(1+$B$5)</f>
        <v>937.5</v>
      </c>
      <c r="Z49" s="28">
        <v>0</v>
      </c>
      <c r="AA49" s="22"/>
      <c r="AB49" s="255">
        <v>0.03</v>
      </c>
      <c r="AC49" s="28">
        <f>($B49*AB49)*(1+$B$5)</f>
        <v>2812.5</v>
      </c>
      <c r="AD49" s="28">
        <v>0</v>
      </c>
      <c r="AE49" s="22"/>
      <c r="AF49" s="255">
        <v>0.03</v>
      </c>
      <c r="AG49" s="28">
        <f>($B49*AF49)*(1+$B$5)</f>
        <v>2812.5</v>
      </c>
      <c r="AH49" s="28">
        <v>0</v>
      </c>
      <c r="AI49" s="22"/>
      <c r="AJ49" s="255">
        <v>0.03</v>
      </c>
      <c r="AK49" s="28">
        <f>($B49*AJ49)*(1+$B$5)</f>
        <v>2812.5</v>
      </c>
      <c r="AL49" s="28">
        <v>0</v>
      </c>
      <c r="AM49" s="22"/>
      <c r="AN49" s="255">
        <v>0.05</v>
      </c>
      <c r="AO49" s="28">
        <f>($B49*AN49)*(1+$B$5)</f>
        <v>4687.5</v>
      </c>
      <c r="AP49" s="28">
        <v>0</v>
      </c>
      <c r="AQ49" s="22"/>
      <c r="AR49" s="255">
        <v>0.05</v>
      </c>
      <c r="AS49" s="28">
        <f>($B49*AR49)*(1+$B$5)</f>
        <v>4687.5</v>
      </c>
      <c r="AT49" s="28">
        <v>0</v>
      </c>
      <c r="AU49" s="22"/>
      <c r="AV49" s="255">
        <v>0.05</v>
      </c>
      <c r="AW49" s="28">
        <f>($B49*AV49)*(1+$B$5)</f>
        <v>4687.5</v>
      </c>
      <c r="AX49" s="28">
        <v>0</v>
      </c>
      <c r="AY49" s="22"/>
      <c r="AZ49" s="255">
        <v>0.0833</v>
      </c>
      <c r="BA49" s="28">
        <f>($B49*AZ49)*(1+$B$5)</f>
        <v>7809.375</v>
      </c>
      <c r="BB49" s="28">
        <f>$C49*BA49*(1+$B$5)</f>
        <v>2440.4296875</v>
      </c>
      <c r="BC49" s="22"/>
      <c r="BD49" s="255">
        <v>0.0833</v>
      </c>
      <c r="BE49" s="28">
        <f>($B49*BD49)*(1+$B$5)</f>
        <v>7809.375</v>
      </c>
      <c r="BF49" s="28">
        <f>$C49*BE49*(1+$B$5)</f>
        <v>2440.4296875</v>
      </c>
      <c r="BG49" s="22"/>
      <c r="BH49" s="255">
        <v>0.0833</v>
      </c>
      <c r="BI49" s="28">
        <f>($B49*BH49)*(1+$B$5)</f>
        <v>7809.375</v>
      </c>
      <c r="BJ49" s="28">
        <f>$C49*BI49*(1+$B$5)</f>
        <v>2440.4296875</v>
      </c>
      <c r="BK49" s="22"/>
      <c r="BL49" s="255">
        <v>0.0833</v>
      </c>
      <c r="BM49" s="28">
        <f>($B49*BL49)*(1+$B$5)</f>
        <v>7809.375</v>
      </c>
      <c r="BN49" s="28">
        <f>$C49*BM49*(1+$B$5)</f>
        <v>2440.4296875</v>
      </c>
      <c r="BO49" s="22"/>
      <c r="BP49" s="255">
        <v>0.0833</v>
      </c>
      <c r="BQ49" s="28">
        <f>($B49*BP49)*(1+$B$5)</f>
        <v>7809.375</v>
      </c>
      <c r="BR49" s="28">
        <f>$C49*BQ49*(1+$B$5)</f>
        <v>2440.4296875</v>
      </c>
      <c r="BS49" s="22"/>
      <c r="BT49" s="255">
        <v>0.0833</v>
      </c>
      <c r="BU49" s="28">
        <f>($B49*BT49)*(1+$B$5)</f>
        <v>7809.375</v>
      </c>
      <c r="BV49" s="28">
        <f>$C49*BU49*(1+$B$5)</f>
        <v>2440.4296875</v>
      </c>
      <c r="BW49" s="22"/>
      <c r="BX49" s="255">
        <v>0.5</v>
      </c>
      <c r="BY49" s="6">
        <f>(B49*BX49)*(1+$B$5)</f>
        <v>46875</v>
      </c>
      <c r="BZ49" s="28">
        <f>$C49*BY49*(1+$B$5)</f>
        <v>14648.4375</v>
      </c>
      <c r="CA49" s="22"/>
      <c r="CB49" s="264">
        <v>1</v>
      </c>
      <c r="CC49" s="3">
        <f>(B49*CB49)*(1+$B$5)</f>
        <v>93750</v>
      </c>
      <c r="CD49" s="26">
        <f>CC49*C49*(1+$B$5)</f>
        <v>29296.875</v>
      </c>
      <c r="CE49" s="22"/>
      <c r="CF49" s="264">
        <v>1</v>
      </c>
      <c r="CG49" s="3">
        <f>CF49*B49*(1+$CF$5)*(1+$B$5)</f>
        <v>98437.5</v>
      </c>
      <c r="CH49" s="3">
        <f>CG49*C49*(1+$B$5)</f>
        <v>30761.71875</v>
      </c>
      <c r="CI49" s="22"/>
      <c r="CJ49" s="264">
        <v>1</v>
      </c>
      <c r="CK49" s="3">
        <f>CJ49*B49*(1+$CJ$5+$CF$5)*(1+$B$5)</f>
        <v>103125</v>
      </c>
      <c r="CL49" s="3">
        <f>CK49*C49*(1+$B$5)</f>
        <v>32226.5625</v>
      </c>
    </row>
    <row r="50" spans="1:90" s="3" customFormat="1" ht="12.75">
      <c r="A50" s="171" t="s">
        <v>219</v>
      </c>
      <c r="B50" s="168">
        <v>55000</v>
      </c>
      <c r="C50" s="167"/>
      <c r="D50" s="255">
        <v>0</v>
      </c>
      <c r="E50" s="28">
        <f>($B50*D50)*(1+$B$5)</f>
        <v>0</v>
      </c>
      <c r="F50" s="28">
        <v>0</v>
      </c>
      <c r="G50" s="22"/>
      <c r="H50" s="255">
        <v>0</v>
      </c>
      <c r="I50" s="28">
        <f>($B50*H50)*(1+$B$5)</f>
        <v>0</v>
      </c>
      <c r="J50" s="28">
        <v>0</v>
      </c>
      <c r="K50" s="22"/>
      <c r="L50" s="255">
        <v>0</v>
      </c>
      <c r="M50" s="28">
        <f>($B50*L50)*(1+$B$5)</f>
        <v>0</v>
      </c>
      <c r="N50" s="28">
        <v>0</v>
      </c>
      <c r="O50" s="22"/>
      <c r="P50" s="255">
        <v>0</v>
      </c>
      <c r="Q50" s="28">
        <f>($B50*P50)*(1+$B$5)</f>
        <v>0</v>
      </c>
      <c r="R50" s="28">
        <v>0</v>
      </c>
      <c r="S50" s="22"/>
      <c r="T50" s="255">
        <v>0</v>
      </c>
      <c r="U50" s="28">
        <f>($B50*T50)*(1+$B$5)</f>
        <v>0</v>
      </c>
      <c r="V50" s="28">
        <v>0</v>
      </c>
      <c r="W50" s="22"/>
      <c r="X50" s="255">
        <v>0</v>
      </c>
      <c r="Y50" s="28">
        <f>($B50*X50)*(1+$B$5)</f>
        <v>0</v>
      </c>
      <c r="Z50" s="28">
        <v>0</v>
      </c>
      <c r="AA50" s="22"/>
      <c r="AB50" s="255">
        <v>0</v>
      </c>
      <c r="AC50" s="28">
        <f>($B50*AB50)*(1+$B$5)</f>
        <v>0</v>
      </c>
      <c r="AD50" s="28">
        <v>0</v>
      </c>
      <c r="AE50" s="22"/>
      <c r="AF50" s="255">
        <v>0</v>
      </c>
      <c r="AG50" s="28">
        <f>($B50*AF50)*(1+$B$5)</f>
        <v>0</v>
      </c>
      <c r="AH50" s="28">
        <v>0</v>
      </c>
      <c r="AI50" s="22"/>
      <c r="AJ50" s="255">
        <v>0</v>
      </c>
      <c r="AK50" s="28">
        <f>($B50*AJ50)*(1+$B$5)</f>
        <v>0</v>
      </c>
      <c r="AL50" s="28">
        <v>0</v>
      </c>
      <c r="AM50" s="22"/>
      <c r="AN50" s="255">
        <v>0</v>
      </c>
      <c r="AO50" s="28">
        <f>($B50*AN50)*(1+$B$5)</f>
        <v>0</v>
      </c>
      <c r="AP50" s="28">
        <v>0</v>
      </c>
      <c r="AQ50" s="22"/>
      <c r="AR50" s="255">
        <v>0</v>
      </c>
      <c r="AS50" s="28">
        <f>($B50*AR50)*(1+$B$5)</f>
        <v>0</v>
      </c>
      <c r="AT50" s="28">
        <v>0</v>
      </c>
      <c r="AU50" s="22"/>
      <c r="AV50" s="255">
        <v>0</v>
      </c>
      <c r="AW50" s="28">
        <f>($B50*AV50)*(1+$B$5)</f>
        <v>0</v>
      </c>
      <c r="AX50" s="28">
        <v>0</v>
      </c>
      <c r="AY50" s="22"/>
      <c r="AZ50" s="255">
        <v>0</v>
      </c>
      <c r="BA50" s="28">
        <f>($B50*AZ50)*(1+$B$5)</f>
        <v>0</v>
      </c>
      <c r="BB50" s="28">
        <f>$C50*BA50*(1+$B$5)</f>
        <v>0</v>
      </c>
      <c r="BC50" s="22"/>
      <c r="BD50" s="255">
        <v>0</v>
      </c>
      <c r="BE50" s="28">
        <f>($B50*BD50)*(1+$B$5)</f>
        <v>0</v>
      </c>
      <c r="BF50" s="28">
        <f>$C50*BE50*(1+$B$5)</f>
        <v>0</v>
      </c>
      <c r="BG50" s="22"/>
      <c r="BH50" s="255">
        <v>0</v>
      </c>
      <c r="BI50" s="28">
        <f>($B50*BH50)*(1+$B$5)</f>
        <v>0</v>
      </c>
      <c r="BJ50" s="28">
        <f>$C50*BI50*(1+$B$5)</f>
        <v>0</v>
      </c>
      <c r="BK50" s="22"/>
      <c r="BL50" s="255">
        <v>0</v>
      </c>
      <c r="BM50" s="28">
        <f>($B50*BL50)*(1+$B$5)</f>
        <v>0</v>
      </c>
      <c r="BN50" s="28">
        <f>$C50*BM50*(1+$B$5)</f>
        <v>0</v>
      </c>
      <c r="BO50" s="22"/>
      <c r="BP50" s="255">
        <v>0</v>
      </c>
      <c r="BQ50" s="28">
        <f>($B50*BP50)*(1+$B$5)</f>
        <v>0</v>
      </c>
      <c r="BR50" s="28">
        <f>$C50*BQ50*(1+$B$5)</f>
        <v>0</v>
      </c>
      <c r="BS50" s="22"/>
      <c r="BT50" s="255">
        <v>0</v>
      </c>
      <c r="BU50" s="28">
        <f>($B50*BT50)*(1+$B$5)</f>
        <v>0</v>
      </c>
      <c r="BV50" s="28">
        <f>$C50*BU50*(1+$B$5)</f>
        <v>0</v>
      </c>
      <c r="BW50" s="22"/>
      <c r="BX50" s="255">
        <v>0.5</v>
      </c>
      <c r="BY50" s="6">
        <f>(B50*BX50)*(1+$B$5)</f>
        <v>34375</v>
      </c>
      <c r="BZ50" s="28">
        <f>$C50*BY50*(1+$B$5)</f>
        <v>0</v>
      </c>
      <c r="CA50" s="22"/>
      <c r="CB50" s="264">
        <v>2</v>
      </c>
      <c r="CC50" s="3">
        <f>(B50*CB50)*(1+$B$5)</f>
        <v>137500</v>
      </c>
      <c r="CD50" s="26">
        <f>CC50*C50*(1+$B$5)</f>
        <v>0</v>
      </c>
      <c r="CE50" s="22"/>
      <c r="CF50" s="264">
        <v>2</v>
      </c>
      <c r="CG50" s="3">
        <f>CF50*B50*(1+$CF$5)*(1+$B$5)</f>
        <v>144375</v>
      </c>
      <c r="CH50" s="3">
        <f>CG50*C50*(1+$B$5)</f>
        <v>0</v>
      </c>
      <c r="CI50" s="22"/>
      <c r="CJ50" s="264">
        <v>4</v>
      </c>
      <c r="CK50" s="3">
        <f>CJ50*B50*(1+$CJ$5+$CF$5)*(1+$B$5)</f>
        <v>302500.00000000006</v>
      </c>
      <c r="CL50" s="3">
        <f>CK50*C50*(1+$B$5)</f>
        <v>0</v>
      </c>
    </row>
    <row r="51" spans="1:90" s="170" customFormat="1" ht="12.75">
      <c r="A51" s="249" t="s">
        <v>220</v>
      </c>
      <c r="B51" s="247">
        <v>45000</v>
      </c>
      <c r="C51" s="248"/>
      <c r="D51" s="256">
        <v>0</v>
      </c>
      <c r="E51" s="203">
        <f>($B51*D51)*(1+$B$5)</f>
        <v>0</v>
      </c>
      <c r="F51" s="203">
        <v>0</v>
      </c>
      <c r="G51" s="95"/>
      <c r="H51" s="256">
        <v>0</v>
      </c>
      <c r="I51" s="203">
        <f>($B51*H51)*(1+$B$5)</f>
        <v>0</v>
      </c>
      <c r="J51" s="203">
        <v>0</v>
      </c>
      <c r="K51" s="95"/>
      <c r="L51" s="256">
        <v>0</v>
      </c>
      <c r="M51" s="203">
        <f>($B51*L51)*(1+$B$5)</f>
        <v>0</v>
      </c>
      <c r="N51" s="203">
        <v>0</v>
      </c>
      <c r="O51" s="95"/>
      <c r="P51" s="256">
        <v>0</v>
      </c>
      <c r="Q51" s="203">
        <f>($B51*P51)*(1+$B$5)</f>
        <v>0</v>
      </c>
      <c r="R51" s="203">
        <v>0</v>
      </c>
      <c r="S51" s="95"/>
      <c r="T51" s="256">
        <v>0</v>
      </c>
      <c r="U51" s="203">
        <f>($B51*T51)*(1+$B$5)</f>
        <v>0</v>
      </c>
      <c r="V51" s="203">
        <v>0</v>
      </c>
      <c r="W51" s="95"/>
      <c r="X51" s="256">
        <v>0</v>
      </c>
      <c r="Y51" s="203">
        <f>($B51*X51)*(1+$B$5)</f>
        <v>0</v>
      </c>
      <c r="Z51" s="203">
        <v>0</v>
      </c>
      <c r="AA51" s="95"/>
      <c r="AB51" s="256">
        <v>0</v>
      </c>
      <c r="AC51" s="203">
        <f>($B51*AB51)*(1+$B$5)</f>
        <v>0</v>
      </c>
      <c r="AD51" s="203">
        <v>0</v>
      </c>
      <c r="AE51" s="95"/>
      <c r="AF51" s="256">
        <v>0</v>
      </c>
      <c r="AG51" s="203">
        <f>($B51*AF51)*(1+$B$5)</f>
        <v>0</v>
      </c>
      <c r="AH51" s="203">
        <v>0</v>
      </c>
      <c r="AI51" s="95"/>
      <c r="AJ51" s="256">
        <v>0</v>
      </c>
      <c r="AK51" s="203">
        <f>($B51*AJ51)*(1+$B$5)</f>
        <v>0</v>
      </c>
      <c r="AL51" s="203">
        <v>0</v>
      </c>
      <c r="AM51" s="95"/>
      <c r="AN51" s="256">
        <v>0</v>
      </c>
      <c r="AO51" s="203">
        <f>($B51*AN51)*(1+$B$5)</f>
        <v>0</v>
      </c>
      <c r="AP51" s="203">
        <v>0</v>
      </c>
      <c r="AQ51" s="95"/>
      <c r="AR51" s="256">
        <v>0</v>
      </c>
      <c r="AS51" s="203">
        <f>($B51*AR51)*(1+$B$5)</f>
        <v>0</v>
      </c>
      <c r="AT51" s="203">
        <v>0</v>
      </c>
      <c r="AU51" s="95"/>
      <c r="AV51" s="256">
        <v>0</v>
      </c>
      <c r="AW51" s="203">
        <f>($B51*AV51)*(1+$B$5)</f>
        <v>0</v>
      </c>
      <c r="AX51" s="203">
        <v>0</v>
      </c>
      <c r="AY51" s="95"/>
      <c r="AZ51" s="256">
        <v>0</v>
      </c>
      <c r="BA51" s="203">
        <f>($B51*AZ51)*(1+$B$5)</f>
        <v>0</v>
      </c>
      <c r="BB51" s="203">
        <f>$C51*BA51*(1+$B$5)</f>
        <v>0</v>
      </c>
      <c r="BC51" s="95"/>
      <c r="BD51" s="256">
        <v>0</v>
      </c>
      <c r="BE51" s="203">
        <f>($B51*BD51)*(1+$B$5)</f>
        <v>0</v>
      </c>
      <c r="BF51" s="203">
        <f>$C51*BE51*(1+$B$5)</f>
        <v>0</v>
      </c>
      <c r="BG51" s="95"/>
      <c r="BH51" s="256">
        <v>0</v>
      </c>
      <c r="BI51" s="203">
        <f>($B51*BH51)*(1+$B$5)</f>
        <v>0</v>
      </c>
      <c r="BJ51" s="203">
        <f>$C51*BI51*(1+$B$5)</f>
        <v>0</v>
      </c>
      <c r="BK51" s="95"/>
      <c r="BL51" s="256">
        <v>0</v>
      </c>
      <c r="BM51" s="203">
        <f>($B51*BL51)*(1+$B$5)</f>
        <v>0</v>
      </c>
      <c r="BN51" s="203">
        <f>$C51*BM51*(1+$B$5)</f>
        <v>0</v>
      </c>
      <c r="BO51" s="95"/>
      <c r="BP51" s="256">
        <v>0</v>
      </c>
      <c r="BQ51" s="203">
        <f>($B51*BP51)*(1+$B$5)</f>
        <v>0</v>
      </c>
      <c r="BR51" s="203">
        <f>$C51*BQ51*(1+$B$5)</f>
        <v>0</v>
      </c>
      <c r="BS51" s="95"/>
      <c r="BT51" s="256">
        <v>0</v>
      </c>
      <c r="BU51" s="203">
        <f>($B51*BT51)*(1+$B$5)</f>
        <v>0</v>
      </c>
      <c r="BV51" s="203">
        <f>$C51*BU51*(1+$B$5)</f>
        <v>0</v>
      </c>
      <c r="BW51" s="95"/>
      <c r="BX51" s="256">
        <v>0</v>
      </c>
      <c r="BY51" s="170">
        <f>(B51*BX51)*(1+$B$5)</f>
        <v>0</v>
      </c>
      <c r="BZ51" s="203">
        <f>$C51*BY51*(1+$B$5)</f>
        <v>0</v>
      </c>
      <c r="CA51" s="95"/>
      <c r="CB51" s="265">
        <v>1</v>
      </c>
      <c r="CC51" s="170">
        <f>(B51*CB51)*(1+$B$5)</f>
        <v>56250</v>
      </c>
      <c r="CD51" s="194">
        <f>CC51*C51*(1+$B$5)</f>
        <v>0</v>
      </c>
      <c r="CE51" s="95"/>
      <c r="CF51" s="265">
        <v>1</v>
      </c>
      <c r="CG51" s="170">
        <f>CF51*B51*(1+$CF$5)*(1+$B$5)</f>
        <v>59062.5</v>
      </c>
      <c r="CH51" s="170">
        <f>CG51*C51*(1+$B$5)</f>
        <v>0</v>
      </c>
      <c r="CI51" s="95"/>
      <c r="CJ51" s="265">
        <v>1</v>
      </c>
      <c r="CK51" s="170">
        <f>CJ51*B51*(1+$CJ$5+$CF$5)*(1+$B$5)</f>
        <v>61875.00000000001</v>
      </c>
      <c r="CL51" s="170">
        <f>CK51*C51*(1+$B$5)</f>
        <v>0</v>
      </c>
    </row>
    <row r="52" spans="2:90" s="3" customFormat="1" ht="12.75">
      <c r="B52" s="166"/>
      <c r="C52" s="167"/>
      <c r="D52" s="257">
        <f>SUM(D47:D51)</f>
        <v>0.08</v>
      </c>
      <c r="E52" s="22">
        <f>SUM(E47:E51)</f>
        <v>12000</v>
      </c>
      <c r="F52" s="22">
        <f>SUM(F47:F51)</f>
        <v>0</v>
      </c>
      <c r="G52" s="22"/>
      <c r="H52" s="257">
        <f>SUM(H47:H51)</f>
        <v>0.10329999999999999</v>
      </c>
      <c r="I52" s="22">
        <f>SUM(I47:I51)</f>
        <v>14682.5</v>
      </c>
      <c r="J52" s="22">
        <f>SUM(J47:J51)</f>
        <v>0</v>
      </c>
      <c r="K52" s="22"/>
      <c r="L52" s="257">
        <f>SUM(L47:L51)</f>
        <v>0.10329999999999999</v>
      </c>
      <c r="M52" s="22">
        <f>SUM(M47:M51)</f>
        <v>14682.5</v>
      </c>
      <c r="N52" s="22">
        <f>SUM(N47:N51)</f>
        <v>0</v>
      </c>
      <c r="O52" s="22"/>
      <c r="P52" s="257">
        <f>SUM(P47:P51)</f>
        <v>0.10329999999999999</v>
      </c>
      <c r="Q52" s="22">
        <f>SUM(Q47:Q51)</f>
        <v>14682.5</v>
      </c>
      <c r="R52" s="22">
        <f>SUM(R47:R51)</f>
        <v>0</v>
      </c>
      <c r="S52" s="22"/>
      <c r="T52" s="257">
        <f>SUM(T47:T51)</f>
        <v>0.10329999999999999</v>
      </c>
      <c r="U52" s="22">
        <f>SUM(U47:U51)</f>
        <v>14682.5</v>
      </c>
      <c r="V52" s="22">
        <f>SUM(V47:V51)</f>
        <v>0</v>
      </c>
      <c r="W52" s="22"/>
      <c r="X52" s="257">
        <f>SUM(X47:X51)</f>
        <v>0.10329999999999999</v>
      </c>
      <c r="Y52" s="22">
        <f>SUM(Y47:Y51)</f>
        <v>14682.5</v>
      </c>
      <c r="Z52" s="22">
        <f>SUM(Z47:Z51)</f>
        <v>0</v>
      </c>
      <c r="AA52" s="22"/>
      <c r="AB52" s="257">
        <f>SUM(AB47:AB51)</f>
        <v>0.14329999999999998</v>
      </c>
      <c r="AC52" s="22">
        <f>SUM(AC47:AC51)</f>
        <v>19057.5</v>
      </c>
      <c r="AD52" s="22">
        <f>SUM(AD47:AD51)</f>
        <v>0</v>
      </c>
      <c r="AE52" s="22"/>
      <c r="AF52" s="257">
        <f>SUM(AF47:AF51)</f>
        <v>0.14329999999999998</v>
      </c>
      <c r="AG52" s="22">
        <f>SUM(AG47:AG51)</f>
        <v>19057.5</v>
      </c>
      <c r="AH52" s="22">
        <f>SUM(AH47:AH51)</f>
        <v>0</v>
      </c>
      <c r="AI52" s="22"/>
      <c r="AJ52" s="257">
        <f>SUM(AJ47:AJ51)</f>
        <v>0.14329999999999998</v>
      </c>
      <c r="AK52" s="22">
        <f>SUM(AK47:AK51)</f>
        <v>19057.5</v>
      </c>
      <c r="AL52" s="22">
        <f>SUM(AL47:AL51)</f>
        <v>0</v>
      </c>
      <c r="AM52" s="22"/>
      <c r="AN52" s="257">
        <f>SUM(AN47:AN51)</f>
        <v>0.18330000000000002</v>
      </c>
      <c r="AO52" s="22">
        <f>SUM(AO47:AO51)</f>
        <v>23432.5</v>
      </c>
      <c r="AP52" s="22">
        <f>SUM(AP47:AP51)</f>
        <v>0</v>
      </c>
      <c r="AQ52" s="22"/>
      <c r="AR52" s="257">
        <f>SUM(AR47:AR51)</f>
        <v>0.18330000000000002</v>
      </c>
      <c r="AS52" s="22">
        <f>SUM(AS47:AS51)</f>
        <v>23432.5</v>
      </c>
      <c r="AT52" s="22">
        <f>SUM(AT47:AT51)</f>
        <v>0</v>
      </c>
      <c r="AU52" s="22"/>
      <c r="AV52" s="257">
        <f>SUM(AV47:AV51)</f>
        <v>0.18330000000000002</v>
      </c>
      <c r="AW52" s="22">
        <f>SUM(AW47:AW51)</f>
        <v>23432.5</v>
      </c>
      <c r="AX52" s="22">
        <f>SUM(AX47:AX51)</f>
        <v>0</v>
      </c>
      <c r="AY52" s="22"/>
      <c r="AZ52" s="257">
        <f>SUM(AZ47:AZ51)</f>
        <v>0.2499</v>
      </c>
      <c r="BA52" s="22">
        <f>SUM(BA47:BA51)</f>
        <v>30716.875</v>
      </c>
      <c r="BB52" s="22">
        <f>SUM(BB47:BB51)</f>
        <v>10770.4296875</v>
      </c>
      <c r="BC52" s="22"/>
      <c r="BD52" s="257">
        <f>SUM(BD47:BD51)</f>
        <v>0.2499</v>
      </c>
      <c r="BE52" s="22">
        <f>SUM(BE47:BE51)</f>
        <v>30716.875</v>
      </c>
      <c r="BF52" s="22">
        <f>SUM(BF47:BF51)</f>
        <v>10770.4296875</v>
      </c>
      <c r="BG52" s="22"/>
      <c r="BH52" s="257">
        <f>SUM(BH47:BH51)</f>
        <v>0.2499</v>
      </c>
      <c r="BI52" s="22">
        <f>SUM(BI47:BI51)</f>
        <v>30716.875</v>
      </c>
      <c r="BJ52" s="22">
        <f>SUM(BJ47:BJ51)</f>
        <v>10770.4296875</v>
      </c>
      <c r="BK52" s="22"/>
      <c r="BL52" s="257">
        <f>SUM(BL47:BL51)</f>
        <v>0.2499</v>
      </c>
      <c r="BM52" s="22">
        <f>SUM(BM47:BM51)</f>
        <v>30716.875</v>
      </c>
      <c r="BN52" s="22">
        <f>SUM(BN47:BN51)</f>
        <v>10770.4296875</v>
      </c>
      <c r="BO52" s="22"/>
      <c r="BP52" s="257">
        <f>SUM(BP47:BP51)</f>
        <v>0.2499</v>
      </c>
      <c r="BQ52" s="22">
        <f>SUM(BQ47:BQ51)</f>
        <v>30716.875</v>
      </c>
      <c r="BR52" s="22">
        <f>SUM(BR47:BR51)</f>
        <v>10770.4296875</v>
      </c>
      <c r="BS52" s="22"/>
      <c r="BT52" s="257">
        <f>SUM(BT47:BT51)</f>
        <v>0.2499</v>
      </c>
      <c r="BU52" s="22">
        <f>SUM(BU47:BU51)</f>
        <v>30716.875</v>
      </c>
      <c r="BV52" s="22">
        <f>SUM(BV47:BV51)</f>
        <v>10770.4296875</v>
      </c>
      <c r="BW52" s="22"/>
      <c r="BX52" s="257">
        <f>SUM(BX47:BX51)</f>
        <v>2</v>
      </c>
      <c r="BY52" s="267">
        <f>SUM(BY47:BY51)</f>
        <v>218750</v>
      </c>
      <c r="BZ52" s="22">
        <f>SUM(BZ47:BZ51)</f>
        <v>64648.4375</v>
      </c>
      <c r="CA52" s="22"/>
      <c r="CB52" s="262">
        <f>SUM(CB47:CB51)</f>
        <v>7</v>
      </c>
      <c r="CC52" s="22">
        <f>SUM(CC47:CC51)</f>
        <v>712500</v>
      </c>
      <c r="CD52" s="22">
        <f>SUM(CD47:CD51)</f>
        <v>166796.875</v>
      </c>
      <c r="CE52" s="22"/>
      <c r="CF52" s="262">
        <f>SUM(CF47:CF51)</f>
        <v>6.5</v>
      </c>
      <c r="CG52" s="22">
        <f>SUM(CG47:CG51)</f>
        <v>669375</v>
      </c>
      <c r="CH52" s="22">
        <f>SUM(CH47:CH51)</f>
        <v>155449.21875</v>
      </c>
      <c r="CI52" s="22"/>
      <c r="CJ52" s="262">
        <f>SUM(CJ47:CJ51)</f>
        <v>9</v>
      </c>
      <c r="CK52" s="22">
        <f>SUM(CK47:CK51)</f>
        <v>935000</v>
      </c>
      <c r="CL52" s="22">
        <f>SUM(CL47:CL51)</f>
        <v>183476.5625</v>
      </c>
    </row>
    <row r="53" spans="4:88" s="3" customFormat="1" ht="12.75">
      <c r="D53" s="258"/>
      <c r="H53" s="258"/>
      <c r="L53" s="258"/>
      <c r="P53" s="258"/>
      <c r="T53" s="258"/>
      <c r="X53" s="258"/>
      <c r="AB53" s="258"/>
      <c r="AF53" s="258"/>
      <c r="AJ53" s="258"/>
      <c r="AN53" s="258"/>
      <c r="AR53" s="258"/>
      <c r="AV53" s="258"/>
      <c r="AZ53" s="258"/>
      <c r="BD53" s="258"/>
      <c r="BH53" s="258"/>
      <c r="BL53" s="258"/>
      <c r="BP53" s="258"/>
      <c r="BT53" s="258"/>
      <c r="BX53" s="258"/>
      <c r="BY53" s="6"/>
      <c r="CB53" s="196"/>
      <c r="CF53" s="196"/>
      <c r="CJ53" s="196"/>
    </row>
    <row r="54" spans="4:88" s="3" customFormat="1" ht="12.75">
      <c r="D54" s="258"/>
      <c r="H54" s="258"/>
      <c r="L54" s="258"/>
      <c r="P54" s="258"/>
      <c r="T54" s="258"/>
      <c r="X54" s="258"/>
      <c r="AB54" s="258"/>
      <c r="AF54" s="258"/>
      <c r="AJ54" s="258"/>
      <c r="AN54" s="258"/>
      <c r="AR54" s="258"/>
      <c r="AV54" s="258"/>
      <c r="AZ54" s="258"/>
      <c r="BD54" s="258"/>
      <c r="BH54" s="258"/>
      <c r="BL54" s="258"/>
      <c r="BP54" s="258"/>
      <c r="BT54" s="258"/>
      <c r="BX54" s="258"/>
      <c r="BY54" s="6"/>
      <c r="CB54" s="196"/>
      <c r="CF54" s="196"/>
      <c r="CJ54" s="196"/>
    </row>
    <row r="55" spans="4:88" s="3" customFormat="1" ht="12.75">
      <c r="D55" s="258"/>
      <c r="H55" s="258"/>
      <c r="L55" s="258"/>
      <c r="P55" s="258"/>
      <c r="T55" s="258"/>
      <c r="X55" s="258"/>
      <c r="AB55" s="258"/>
      <c r="AF55" s="258"/>
      <c r="AJ55" s="258"/>
      <c r="AN55" s="258"/>
      <c r="AR55" s="258"/>
      <c r="AV55" s="258"/>
      <c r="AZ55" s="258"/>
      <c r="BD55" s="258"/>
      <c r="BH55" s="258"/>
      <c r="BL55" s="258"/>
      <c r="BP55" s="258"/>
      <c r="BT55" s="258"/>
      <c r="BX55" s="258"/>
      <c r="BY55" s="6"/>
      <c r="CB55" s="196"/>
      <c r="CF55" s="196"/>
      <c r="CJ55" s="196"/>
    </row>
    <row r="56" spans="4:88" s="3" customFormat="1" ht="12.75">
      <c r="D56" s="258"/>
      <c r="H56" s="258"/>
      <c r="L56" s="258"/>
      <c r="P56" s="258"/>
      <c r="T56" s="258"/>
      <c r="X56" s="258"/>
      <c r="AB56" s="258"/>
      <c r="AF56" s="258"/>
      <c r="AJ56" s="258"/>
      <c r="AN56" s="258"/>
      <c r="AR56" s="258"/>
      <c r="AV56" s="258"/>
      <c r="AZ56" s="258"/>
      <c r="BD56" s="258"/>
      <c r="BH56" s="258"/>
      <c r="BL56" s="258"/>
      <c r="BP56" s="258"/>
      <c r="BT56" s="258"/>
      <c r="BX56" s="258"/>
      <c r="BY56" s="6"/>
      <c r="CB56" s="196"/>
      <c r="CF56" s="196"/>
      <c r="CJ56" s="196"/>
    </row>
    <row r="57" spans="4:88" s="3" customFormat="1" ht="12.75">
      <c r="D57" s="258"/>
      <c r="H57" s="258"/>
      <c r="L57" s="258"/>
      <c r="P57" s="258"/>
      <c r="T57" s="258"/>
      <c r="X57" s="258"/>
      <c r="AB57" s="258"/>
      <c r="AF57" s="258"/>
      <c r="AJ57" s="258"/>
      <c r="AN57" s="258"/>
      <c r="AR57" s="258"/>
      <c r="AV57" s="258"/>
      <c r="AZ57" s="258"/>
      <c r="BD57" s="258"/>
      <c r="BH57" s="258"/>
      <c r="BL57" s="258"/>
      <c r="BP57" s="258"/>
      <c r="BT57" s="258"/>
      <c r="BX57" s="258"/>
      <c r="BY57" s="6"/>
      <c r="CB57" s="196"/>
      <c r="CF57" s="196"/>
      <c r="CJ57" s="196"/>
    </row>
    <row r="58" spans="4:115" ht="12.75">
      <c r="D58" s="259"/>
      <c r="E58" s="15"/>
      <c r="F58" s="15"/>
      <c r="H58" s="259"/>
      <c r="I58" s="15"/>
      <c r="J58" s="15"/>
      <c r="L58" s="259"/>
      <c r="M58" s="15"/>
      <c r="N58" s="15"/>
      <c r="P58" s="259"/>
      <c r="Q58" s="15"/>
      <c r="R58" s="15"/>
      <c r="T58" s="259"/>
      <c r="U58" s="15"/>
      <c r="V58" s="15"/>
      <c r="X58" s="259"/>
      <c r="Y58" s="15"/>
      <c r="Z58" s="15"/>
      <c r="AB58" s="259"/>
      <c r="AC58" s="15"/>
      <c r="AD58" s="15"/>
      <c r="AF58" s="259"/>
      <c r="AG58" s="15"/>
      <c r="AH58" s="15"/>
      <c r="AJ58" s="259"/>
      <c r="AK58" s="15"/>
      <c r="AL58" s="15"/>
      <c r="AN58" s="259"/>
      <c r="AO58" s="15"/>
      <c r="AP58" s="15"/>
      <c r="AR58" s="259"/>
      <c r="AS58" s="15"/>
      <c r="AT58" s="15"/>
      <c r="AV58" s="259"/>
      <c r="AW58" s="15"/>
      <c r="AX58" s="15"/>
      <c r="AZ58" s="259"/>
      <c r="BA58" s="15"/>
      <c r="BB58" s="15"/>
      <c r="BD58" s="259"/>
      <c r="BE58" s="15"/>
      <c r="BF58" s="15"/>
      <c r="BH58" s="259"/>
      <c r="BI58" s="15"/>
      <c r="BJ58" s="15"/>
      <c r="BL58" s="259"/>
      <c r="BM58" s="15"/>
      <c r="BN58" s="15"/>
      <c r="BP58" s="259"/>
      <c r="BQ58" s="15"/>
      <c r="BR58" s="15"/>
      <c r="BT58" s="259"/>
      <c r="BU58" s="15"/>
      <c r="BV58" s="15"/>
      <c r="BX58" s="259"/>
      <c r="BY58" s="268"/>
      <c r="BZ58" s="15"/>
      <c r="CB58" s="199"/>
      <c r="CC58" s="15"/>
      <c r="CD58" s="15"/>
      <c r="CF58" s="199"/>
      <c r="CP58">
        <v>1</v>
      </c>
      <c r="CQ58">
        <v>2</v>
      </c>
      <c r="CR58">
        <v>3</v>
      </c>
      <c r="CS58">
        <v>4</v>
      </c>
      <c r="CT58">
        <v>5</v>
      </c>
      <c r="CU58">
        <v>6</v>
      </c>
      <c r="CV58">
        <v>7</v>
      </c>
      <c r="CW58">
        <v>8</v>
      </c>
      <c r="CX58">
        <v>9</v>
      </c>
      <c r="CY58">
        <v>10</v>
      </c>
      <c r="CZ58">
        <v>11</v>
      </c>
      <c r="DA58">
        <v>12</v>
      </c>
      <c r="DB58">
        <v>13</v>
      </c>
      <c r="DC58">
        <v>14</v>
      </c>
      <c r="DD58">
        <v>15</v>
      </c>
      <c r="DE58">
        <v>16</v>
      </c>
      <c r="DF58">
        <v>17</v>
      </c>
      <c r="DG58">
        <v>18</v>
      </c>
      <c r="DH58" s="165" t="s">
        <v>297</v>
      </c>
      <c r="DI58" s="165">
        <v>3</v>
      </c>
      <c r="DJ58" s="165">
        <v>4</v>
      </c>
      <c r="DK58" s="165">
        <v>5</v>
      </c>
    </row>
    <row r="59" spans="4:115" s="93" customFormat="1" ht="13.5" thickBot="1">
      <c r="D59" s="260">
        <f>D22+D52+D31+D39+D45+D13</f>
        <v>0.09</v>
      </c>
      <c r="E59" s="94">
        <f>E22+E52+E31+E39+E45+E13</f>
        <v>13000</v>
      </c>
      <c r="F59" s="94">
        <f>F22+F52+F31+F39+F45+F13</f>
        <v>0</v>
      </c>
      <c r="H59" s="260">
        <f>H22+H52+H31+H39+H45+H13</f>
        <v>0.16329999999999997</v>
      </c>
      <c r="I59" s="94">
        <f>I22+I52+I31+I39+I45+I13</f>
        <v>20557.5</v>
      </c>
      <c r="J59" s="94">
        <f>J22+J52+J31+J39+J45+J13</f>
        <v>0</v>
      </c>
      <c r="L59" s="260">
        <f>L22+L52+L31+L39+L45+L13</f>
        <v>0.16329999999999997</v>
      </c>
      <c r="M59" s="94">
        <f>M22+M52+M31+M39+M45+M13</f>
        <v>20557.5</v>
      </c>
      <c r="N59" s="94">
        <f>N22+N52+N31+N39+N45+N13</f>
        <v>0</v>
      </c>
      <c r="P59" s="260">
        <f>P22+P52+P31+P39+P45+P13</f>
        <v>0.16329999999999997</v>
      </c>
      <c r="Q59" s="94">
        <f>Q22+Q52+Q31+Q39+Q45+Q13</f>
        <v>20557.5</v>
      </c>
      <c r="R59" s="94">
        <f>R22+R52+R31+R39+R45+R13</f>
        <v>0</v>
      </c>
      <c r="T59" s="260">
        <f>T22+T52+T31+T39+T45+T13</f>
        <v>0.16329999999999997</v>
      </c>
      <c r="U59" s="94">
        <f>U22+U52+U31+U39+U45+U13</f>
        <v>20557.5</v>
      </c>
      <c r="V59" s="94">
        <f>V22+V52+V31+V39+V45+V13</f>
        <v>0</v>
      </c>
      <c r="X59" s="260">
        <f>X22+X52+X31+X39+X45+X13</f>
        <v>0.16329999999999997</v>
      </c>
      <c r="Y59" s="94">
        <f>Y22+Y52+Y31+Y39+Y45+Y13</f>
        <v>20557.5</v>
      </c>
      <c r="Z59" s="94">
        <f>Z22+Z52+Z31+Z39+Z45+Z13</f>
        <v>0</v>
      </c>
      <c r="AB59" s="260">
        <f>AB22+AB52+AB31+AB39+AB45+AB13</f>
        <v>0.2833</v>
      </c>
      <c r="AC59" s="94">
        <f>AC22+AC52+AC31+AC39+AC45+AC13</f>
        <v>33932.5</v>
      </c>
      <c r="AD59" s="94">
        <f>AD22+AD52+AD31+AD39+AD45+AD13</f>
        <v>0</v>
      </c>
      <c r="AF59" s="260">
        <f>AF22+AF52+AF31+AF39+AF45+AF13</f>
        <v>0.2833</v>
      </c>
      <c r="AG59" s="94">
        <f>AG22+AG52+AG31+AG39+AG45+AG13</f>
        <v>33932.5</v>
      </c>
      <c r="AH59" s="94">
        <f>AH22+AH52+AH31+AH39+AH45+AH13</f>
        <v>0</v>
      </c>
      <c r="AJ59" s="260">
        <f>AJ22+AJ52+AJ31+AJ39+AJ45+AJ13</f>
        <v>0.2833</v>
      </c>
      <c r="AK59" s="94">
        <f>AK22+AK52+AK31+AK39+AK45+AK13</f>
        <v>33932.5</v>
      </c>
      <c r="AL59" s="94">
        <f>AL22+AL52+AL31+AL39+AL45+AL13</f>
        <v>0</v>
      </c>
      <c r="AN59" s="260">
        <f>AN22+AN52+AN31+AN39+AN45+AN13</f>
        <v>0.3833</v>
      </c>
      <c r="AO59" s="94">
        <f>AO22+AO52+AO31+AO39+AO45+AO13</f>
        <v>44057.5</v>
      </c>
      <c r="AP59" s="94">
        <f>AP22+AP52+AP31+AP39+AP45+AP13</f>
        <v>0</v>
      </c>
      <c r="AR59" s="260">
        <f>AR22+AR52+AR31+AR39+AR45+AR13</f>
        <v>0.3833</v>
      </c>
      <c r="AS59" s="94">
        <f>AS22+AS52+AS31+AS39+AS45+AS13</f>
        <v>44057.5</v>
      </c>
      <c r="AT59" s="94">
        <f>AT22+AT52+AT31+AT39+AT45+AT13</f>
        <v>0</v>
      </c>
      <c r="AV59" s="260">
        <f>AV22+AV52+AV31+AV39+AV45+AV13</f>
        <v>0.3833</v>
      </c>
      <c r="AW59" s="94">
        <f>AW22+AW52+AW31+AW39+AW45+AW13</f>
        <v>44057.5</v>
      </c>
      <c r="AX59" s="94">
        <f>AX22+AX52+AX31+AX39+AX45+AX13</f>
        <v>0</v>
      </c>
      <c r="AZ59" s="260">
        <f>AZ22+AZ52+AZ31+AZ39+AZ45+AZ13</f>
        <v>0.6565</v>
      </c>
      <c r="BA59" s="94">
        <f>BA22+BA52+BA31+BA39+BA45+BA13</f>
        <v>69335.625</v>
      </c>
      <c r="BB59" s="94">
        <f>BB22+BB52+BB31+BB39+BB45+BB13</f>
        <v>29039.1796875</v>
      </c>
      <c r="BD59" s="260">
        <f>BD22+BD52+BD31+BD39+BD45+BD13</f>
        <v>0.6565</v>
      </c>
      <c r="BE59" s="94">
        <f>BE22+BE52+BE31+BE39+BE45+BE13</f>
        <v>69335.625</v>
      </c>
      <c r="BF59" s="94">
        <f>BF22+BF52+BF31+BF39+BF45+BF13</f>
        <v>29039.1796875</v>
      </c>
      <c r="BH59" s="260">
        <f>BH22+BH52+BH31+BH39+BH45+BH13</f>
        <v>0.6565</v>
      </c>
      <c r="BI59" s="94">
        <f>BI22+BI52+BI31+BI39+BI45+BI13</f>
        <v>69335.625</v>
      </c>
      <c r="BJ59" s="94">
        <f>BJ22+BJ52+BJ31+BJ39+BJ45+BJ13</f>
        <v>29039.1796875</v>
      </c>
      <c r="BL59" s="260">
        <f>BL22+BL52+BL31+BL39+BL45+BL13</f>
        <v>0.6565</v>
      </c>
      <c r="BM59" s="94">
        <f>BM22+BM52+BM31+BM39+BM45+BM13</f>
        <v>69335.625</v>
      </c>
      <c r="BN59" s="94">
        <f>BN22+BN52+BN31+BN39+BN45+BN13</f>
        <v>29039.1796875</v>
      </c>
      <c r="BP59" s="260">
        <f>BP22+BP52+BP31+BP39+BP45+BP13</f>
        <v>0.6565</v>
      </c>
      <c r="BQ59" s="94">
        <f>BQ22+BQ52+BQ31+BQ39+BQ45+BQ13</f>
        <v>69335.625</v>
      </c>
      <c r="BR59" s="94">
        <f>BR22+BR52+BR31+BR39+BR45+BR13</f>
        <v>29039.1796875</v>
      </c>
      <c r="BT59" s="260">
        <f>BT22+BT52+BT31+BT39+BT45+BT13</f>
        <v>0.6565</v>
      </c>
      <c r="BU59" s="94">
        <f>BU22+BU52+BU31+BU39+BU45+BU13</f>
        <v>69335.625</v>
      </c>
      <c r="BV59" s="94">
        <f>BV22+BV52+BV31+BV39+BV45+BV13</f>
        <v>29039.1796875</v>
      </c>
      <c r="BX59" s="260">
        <f>BX22+BX52+BX31+BX39+BX45+BX13</f>
        <v>4.5</v>
      </c>
      <c r="BY59" s="94">
        <f>BY22+BY52+BY31+BY39+BY45+BY13</f>
        <v>456250</v>
      </c>
      <c r="BZ59" s="94">
        <f>BZ22+BZ52+BZ31+BZ39+BZ45+BZ13</f>
        <v>177539.0625</v>
      </c>
      <c r="CB59" s="263">
        <f>CB22+CB52+CB31+CB39+CB45+CB13</f>
        <v>15</v>
      </c>
      <c r="CC59" s="94">
        <f>CC22+CC52+CC31+CC39+CC45+CC13</f>
        <v>1412500</v>
      </c>
      <c r="CD59" s="94">
        <f>CD22+CD52+CD31+CD39+CD45+CD13</f>
        <v>470703.125</v>
      </c>
      <c r="CF59" s="263">
        <f>CF22+CF52+CF31+CF39+CF45+CF13</f>
        <v>20</v>
      </c>
      <c r="CG59" s="94">
        <f>CG22+CG52+CG31+CG39+CG45+CG13</f>
        <v>1752187.5</v>
      </c>
      <c r="CH59" s="94">
        <f>CH22+CH52+CH31+CH39+CH45+CH13</f>
        <v>552685.546875</v>
      </c>
      <c r="CJ59" s="263">
        <f>CJ22+CJ52+CJ31+CJ39+CJ45+CJ13</f>
        <v>27</v>
      </c>
      <c r="CK59" s="94">
        <f>CK22+CK52+CK31+CK39+CK45+CK13</f>
        <v>2461250</v>
      </c>
      <c r="CL59" s="94">
        <f>CL22+CL52+CL31+CL39+CL45+CL13</f>
        <v>663437.5</v>
      </c>
      <c r="CP59" s="202">
        <f>D59</f>
        <v>0.09</v>
      </c>
      <c r="CQ59" s="202">
        <f>H59</f>
        <v>0.16329999999999997</v>
      </c>
      <c r="CR59" s="202">
        <f>L59</f>
        <v>0.16329999999999997</v>
      </c>
      <c r="CS59" s="202">
        <f>P59</f>
        <v>0.16329999999999997</v>
      </c>
      <c r="CT59" s="202">
        <f>T59</f>
        <v>0.16329999999999997</v>
      </c>
      <c r="CU59" s="202">
        <f>X59</f>
        <v>0.16329999999999997</v>
      </c>
      <c r="CV59" s="202">
        <f>AB59</f>
        <v>0.2833</v>
      </c>
      <c r="CW59" s="202">
        <f>AF59</f>
        <v>0.2833</v>
      </c>
      <c r="CX59" s="202">
        <f>AJ59</f>
        <v>0.2833</v>
      </c>
      <c r="CY59" s="202">
        <f>AN59</f>
        <v>0.3833</v>
      </c>
      <c r="CZ59" s="202">
        <f>AR59</f>
        <v>0.3833</v>
      </c>
      <c r="DA59" s="202">
        <f>AV59</f>
        <v>0.3833</v>
      </c>
      <c r="DB59" s="202">
        <f>AZ59</f>
        <v>0.6565</v>
      </c>
      <c r="DC59" s="202">
        <f>BD59</f>
        <v>0.6565</v>
      </c>
      <c r="DD59" s="202">
        <f>BH59</f>
        <v>0.6565</v>
      </c>
      <c r="DE59" s="202">
        <f>BL59</f>
        <v>0.6565</v>
      </c>
      <c r="DF59" s="202">
        <f>BP59</f>
        <v>0.6565</v>
      </c>
      <c r="DG59" s="202">
        <f>BT59</f>
        <v>0.6565</v>
      </c>
      <c r="DH59" s="202">
        <f>BX59</f>
        <v>4.5</v>
      </c>
      <c r="DI59" s="202">
        <f>CB59</f>
        <v>15</v>
      </c>
      <c r="DJ59" s="202">
        <f>CF59</f>
        <v>20</v>
      </c>
      <c r="DK59" s="202">
        <f>CJ59</f>
        <v>27</v>
      </c>
    </row>
    <row r="60" spans="6:90" ht="13.5" thickTop="1">
      <c r="F60" s="31">
        <f>E59+F59</f>
        <v>13000</v>
      </c>
      <c r="J60" s="31">
        <f>I59+J59</f>
        <v>20557.5</v>
      </c>
      <c r="N60" s="31">
        <f>M59+N59</f>
        <v>20557.5</v>
      </c>
      <c r="R60" s="31">
        <f>Q59+R59</f>
        <v>20557.5</v>
      </c>
      <c r="V60" s="31">
        <f>U59+V59</f>
        <v>20557.5</v>
      </c>
      <c r="Z60" s="31">
        <f>Y59+Z59</f>
        <v>20557.5</v>
      </c>
      <c r="AD60" s="31">
        <f>AC59+AD59</f>
        <v>33932.5</v>
      </c>
      <c r="AH60" s="31">
        <f>AG59+AH59</f>
        <v>33932.5</v>
      </c>
      <c r="AL60" s="31">
        <f>AK59+AL59</f>
        <v>33932.5</v>
      </c>
      <c r="AP60" s="31">
        <f>AO59+AP59</f>
        <v>44057.5</v>
      </c>
      <c r="AT60" s="31">
        <f>AS59+AT59</f>
        <v>44057.5</v>
      </c>
      <c r="AX60" s="31">
        <f>AW59+AX59</f>
        <v>44057.5</v>
      </c>
      <c r="BB60" s="31">
        <f>BA59+BB59</f>
        <v>98374.8046875</v>
      </c>
      <c r="BF60" s="31">
        <f>BE59+BF59</f>
        <v>98374.8046875</v>
      </c>
      <c r="BJ60" s="31">
        <f>BI59+BJ59</f>
        <v>98374.8046875</v>
      </c>
      <c r="BN60" s="31">
        <f>BM59+BN59</f>
        <v>98374.8046875</v>
      </c>
      <c r="BR60" s="31">
        <f>BQ59+BR59</f>
        <v>98374.8046875</v>
      </c>
      <c r="BV60" s="31">
        <f>BU59+BV59</f>
        <v>98374.8046875</v>
      </c>
      <c r="BZ60" s="31">
        <f>BY59+BZ59</f>
        <v>633789.0625</v>
      </c>
      <c r="CD60" s="31">
        <f>CC59+CD59</f>
        <v>1883203.125</v>
      </c>
      <c r="CH60" s="31">
        <f>CG59+CH59</f>
        <v>2304873.046875</v>
      </c>
      <c r="CL60" s="31">
        <f>CK59+CL59</f>
        <v>3124687.5</v>
      </c>
    </row>
    <row r="62" spans="1:90" ht="12.75">
      <c r="A62" t="s">
        <v>167</v>
      </c>
      <c r="B62" s="28" t="str">
        <f>Revenue!A39</f>
        <v>TOTAL PROJECTED REVENUE</v>
      </c>
      <c r="F62" s="28">
        <f>Revenue!E39</f>
        <v>0</v>
      </c>
      <c r="J62" s="28">
        <f>Revenue!F39</f>
        <v>0</v>
      </c>
      <c r="N62" s="28">
        <f>Revenue!G39</f>
        <v>0</v>
      </c>
      <c r="R62" s="28">
        <f>Revenue!H39</f>
        <v>0</v>
      </c>
      <c r="V62" s="28">
        <f>Revenue!I39</f>
        <v>0</v>
      </c>
      <c r="Z62" s="28">
        <f>Revenue!J39</f>
        <v>8000</v>
      </c>
      <c r="AD62" s="28">
        <f>Revenue!L39</f>
        <v>10700</v>
      </c>
      <c r="AH62" s="28">
        <f>Revenue!M39</f>
        <v>13940</v>
      </c>
      <c r="AL62" s="28">
        <f>Revenue!N39</f>
        <v>17720</v>
      </c>
      <c r="AP62" s="28">
        <f>Revenue!O39</f>
        <v>22040</v>
      </c>
      <c r="AT62" s="28">
        <f>Revenue!P39</f>
        <v>26900</v>
      </c>
      <c r="AX62" s="28">
        <f>Revenue!Q39</f>
        <v>32300</v>
      </c>
      <c r="BB62" s="28">
        <f>Revenue!T39</f>
        <v>40940</v>
      </c>
      <c r="BF62" s="28">
        <f>Revenue!U39</f>
        <v>47870</v>
      </c>
      <c r="BJ62" s="28">
        <f>Revenue!V39</f>
        <v>55377.5</v>
      </c>
      <c r="BN62" s="28">
        <f>Revenue!W39</f>
        <v>64000</v>
      </c>
      <c r="BR62" s="28">
        <f>Revenue!X39</f>
        <v>73737.5</v>
      </c>
      <c r="BV62" s="28">
        <f>Revenue!Y39</f>
        <v>85127.5</v>
      </c>
      <c r="BZ62" s="28">
        <f>Revenue!AB39</f>
        <v>1000005</v>
      </c>
      <c r="CD62" s="28">
        <f>Revenue!AC39</f>
        <v>3655530</v>
      </c>
      <c r="CH62" s="28">
        <f>Revenue!AD39</f>
        <v>7111530</v>
      </c>
      <c r="CI62" s="28"/>
      <c r="CL62" s="28">
        <f>Revenue!AE39</f>
        <v>12622530</v>
      </c>
    </row>
    <row r="63" spans="1:90" ht="12.75">
      <c r="A63" t="s">
        <v>156</v>
      </c>
      <c r="CD63" s="209">
        <f>(CD62-BZ62)/BZ62</f>
        <v>2.655511722441388</v>
      </c>
      <c r="CH63" s="18">
        <f>(CH62-CD62)/CD62</f>
        <v>0.9454169436442869</v>
      </c>
      <c r="CL63" s="18">
        <f>(CL62-CH62)/CH62</f>
        <v>0.774938726265656</v>
      </c>
    </row>
    <row r="64" spans="1:90" ht="12.75">
      <c r="A64" s="165"/>
      <c r="F64" s="3"/>
      <c r="G64" s="3"/>
      <c r="J64" s="3"/>
      <c r="K64" s="3"/>
      <c r="N64" s="3"/>
      <c r="O64" s="3"/>
      <c r="R64" s="3"/>
      <c r="S64" s="3"/>
      <c r="V64" s="3"/>
      <c r="W64" s="3"/>
      <c r="Z64" s="3"/>
      <c r="AA64" s="3"/>
      <c r="AD64" s="3"/>
      <c r="AE64" s="3"/>
      <c r="AH64" s="3"/>
      <c r="AI64" s="3"/>
      <c r="AL64" s="3"/>
      <c r="AM64" s="3"/>
      <c r="AP64" s="3"/>
      <c r="AQ64" s="3"/>
      <c r="AT64" s="3"/>
      <c r="AU64" s="3"/>
      <c r="AX64" s="3"/>
      <c r="AY64" s="3"/>
      <c r="BB64" s="3"/>
      <c r="BC64" s="3"/>
      <c r="BF64" s="3"/>
      <c r="BG64" s="3"/>
      <c r="BJ64" s="3"/>
      <c r="BK64" s="3"/>
      <c r="BN64" s="3"/>
      <c r="BO64" s="3"/>
      <c r="BR64" s="3"/>
      <c r="BS64" s="3"/>
      <c r="BV64" s="3"/>
      <c r="BW64" s="3"/>
      <c r="BZ64" s="3"/>
      <c r="CA64" s="3"/>
      <c r="CD64" s="3"/>
      <c r="CE64" s="3"/>
      <c r="CF64" s="196"/>
      <c r="CG64" s="3"/>
      <c r="CH64" s="3"/>
      <c r="CI64" s="3"/>
      <c r="CJ64" s="196"/>
      <c r="CK64" s="3"/>
      <c r="CL64" s="3"/>
    </row>
    <row r="65" spans="1:90" ht="12.75">
      <c r="A65" s="165" t="s">
        <v>236</v>
      </c>
      <c r="F65">
        <f>Revenue!E28</f>
        <v>500</v>
      </c>
      <c r="J65">
        <f>Revenue!F28</f>
        <v>1500</v>
      </c>
      <c r="N65">
        <f>Revenue!G28</f>
        <v>2750</v>
      </c>
      <c r="R65">
        <f>Revenue!H28</f>
        <v>4250</v>
      </c>
      <c r="V65">
        <f>Revenue!I28</f>
        <v>6000</v>
      </c>
      <c r="Z65">
        <f>Revenue!J28</f>
        <v>8000</v>
      </c>
      <c r="AD65">
        <f>Revenue!L28</f>
        <v>10500</v>
      </c>
      <c r="AH65">
        <f>Revenue!M28</f>
        <v>13500</v>
      </c>
      <c r="AL65">
        <f>Revenue!N28</f>
        <v>17000</v>
      </c>
      <c r="AP65">
        <f>Revenue!O28</f>
        <v>21000</v>
      </c>
      <c r="AT65">
        <f>Revenue!P28</f>
        <v>25500</v>
      </c>
      <c r="AX65">
        <f>Revenue!Q28</f>
        <v>30500</v>
      </c>
      <c r="BB65">
        <f>Revenue!T28</f>
        <v>36000</v>
      </c>
      <c r="BF65">
        <f>Revenue!U28</f>
        <v>42000</v>
      </c>
      <c r="BJ65">
        <f>Revenue!V28</f>
        <v>48500</v>
      </c>
      <c r="BN65">
        <f>Revenue!W28</f>
        <v>56000</v>
      </c>
      <c r="BR65">
        <f>Revenue!X28</f>
        <v>64500</v>
      </c>
      <c r="BV65">
        <f>Revenue!Y28</f>
        <v>74500</v>
      </c>
      <c r="BZ65">
        <f>Revenue!AB28</f>
        <v>134500</v>
      </c>
      <c r="CD65">
        <f>Revenue!AC28</f>
        <v>254500</v>
      </c>
      <c r="CH65">
        <f>Revenue!AD28</f>
        <v>494500</v>
      </c>
      <c r="CL65">
        <f>Revenue!AE28</f>
        <v>884500</v>
      </c>
    </row>
    <row r="66" spans="1:90" ht="12.75">
      <c r="A66" t="s">
        <v>203</v>
      </c>
      <c r="F66" s="28">
        <f>F62/D59</f>
        <v>0</v>
      </c>
      <c r="J66" s="28">
        <f>J62/H59</f>
        <v>0</v>
      </c>
      <c r="N66" s="28">
        <f>N62/L59</f>
        <v>0</v>
      </c>
      <c r="R66" s="28">
        <f>R62/P59</f>
        <v>0</v>
      </c>
      <c r="V66" s="28">
        <f>V62/T59</f>
        <v>0</v>
      </c>
      <c r="Z66" s="28">
        <f>Z62/X59</f>
        <v>48989.58971218617</v>
      </c>
      <c r="AD66" s="28">
        <f>AD62/AB59</f>
        <v>37769.14931168373</v>
      </c>
      <c r="AH66" s="28">
        <f>AH62/AF59</f>
        <v>49205.7889163431</v>
      </c>
      <c r="AL66" s="28">
        <f>AL62/AJ59</f>
        <v>62548.53512177903</v>
      </c>
      <c r="AP66" s="28">
        <f>AP62/AN59</f>
        <v>57500.65223062875</v>
      </c>
      <c r="AT66" s="28">
        <f>AT62/AR59</f>
        <v>70180.0156535351</v>
      </c>
      <c r="AX66" s="28">
        <f>AX62/AV59</f>
        <v>84268.19723454214</v>
      </c>
      <c r="BB66" s="28">
        <f>BB62/AZ59</f>
        <v>62361.00533130236</v>
      </c>
      <c r="BF66" s="28">
        <f>BF62/BD59</f>
        <v>72916.98400609293</v>
      </c>
      <c r="BJ66" s="28">
        <f>BJ62/BH59</f>
        <v>84352.62757044936</v>
      </c>
      <c r="BN66" s="28">
        <f>BN62/BL59</f>
        <v>97486.67174409749</v>
      </c>
      <c r="BR66" s="28">
        <f>BR62/BP59</f>
        <v>112319.11652703732</v>
      </c>
      <c r="BV66" s="28">
        <f>BV62/BT59</f>
        <v>129668.69763899468</v>
      </c>
      <c r="BZ66" s="28">
        <f>BZ62/BX59</f>
        <v>222223.33333333334</v>
      </c>
      <c r="CD66" s="28">
        <f>CD62/CB59</f>
        <v>243702</v>
      </c>
      <c r="CH66" s="28">
        <f>CH62/CF59</f>
        <v>355576.5</v>
      </c>
      <c r="CL66" s="28">
        <f>CL62/CJ59</f>
        <v>467501.1111111111</v>
      </c>
    </row>
    <row r="67" spans="1:90" ht="12.75">
      <c r="A67" s="165" t="s">
        <v>253</v>
      </c>
      <c r="F67" s="98">
        <f>F65/D59</f>
        <v>5555.555555555556</v>
      </c>
      <c r="J67" s="98">
        <f>J65/H59</f>
        <v>9185.548071034907</v>
      </c>
      <c r="N67" s="98">
        <f>N65/L59</f>
        <v>16840.171463563995</v>
      </c>
      <c r="R67" s="98">
        <f>R65/P59</f>
        <v>26025.719534598902</v>
      </c>
      <c r="V67" s="98">
        <f>V65/T59</f>
        <v>36742.19228413963</v>
      </c>
      <c r="Z67" s="98">
        <f>Z65/X59</f>
        <v>48989.58971218617</v>
      </c>
      <c r="AD67" s="98">
        <f>AD65/AB59</f>
        <v>37063.183903988705</v>
      </c>
      <c r="AH67" s="98">
        <f>AH65/AF59</f>
        <v>47652.66501941405</v>
      </c>
      <c r="AL67" s="98">
        <f>AL65/AJ59</f>
        <v>60007.05965407695</v>
      </c>
      <c r="AP67" s="98">
        <f>AP65/AN59</f>
        <v>54787.3728150274</v>
      </c>
      <c r="AT67" s="98">
        <f>AT65/AR59</f>
        <v>66527.52413253328</v>
      </c>
      <c r="AX67" s="98">
        <f>AX65/AV59</f>
        <v>79572.13670753979</v>
      </c>
      <c r="BB67" s="98">
        <f>BB65/AZ59</f>
        <v>54836.25285605484</v>
      </c>
      <c r="BF67" s="98">
        <f>BF65/BD59</f>
        <v>63975.62833206398</v>
      </c>
      <c r="BJ67" s="98">
        <f>BJ65/BH59</f>
        <v>73876.61843107388</v>
      </c>
      <c r="BN67" s="98">
        <f>BN65/BL59</f>
        <v>85300.8377760853</v>
      </c>
      <c r="BR67" s="98">
        <f>BR65/BP59</f>
        <v>98248.28636709825</v>
      </c>
      <c r="BV67" s="98">
        <f>BV65/BT59</f>
        <v>113480.57882711348</v>
      </c>
      <c r="BZ67" s="98">
        <f>BZ65/BX59</f>
        <v>29888.88888888889</v>
      </c>
      <c r="CD67" s="98">
        <f>CD65/CB59</f>
        <v>16966.666666666668</v>
      </c>
      <c r="CH67" s="98">
        <f>CH65/CF59</f>
        <v>24725</v>
      </c>
      <c r="CL67" s="98">
        <f>CL65/CJ59</f>
        <v>32759.25925925926</v>
      </c>
    </row>
    <row r="70" spans="1:76" ht="12.75">
      <c r="A70" s="195" t="s">
        <v>15</v>
      </c>
      <c r="B70" s="92" t="s">
        <v>22</v>
      </c>
      <c r="C70" s="92" t="s">
        <v>20</v>
      </c>
      <c r="D70" s="254" t="s">
        <v>21</v>
      </c>
      <c r="H70" s="254"/>
      <c r="L70" s="254"/>
      <c r="P70" s="254"/>
      <c r="T70" s="254"/>
      <c r="X70" s="254"/>
      <c r="AB70" s="254"/>
      <c r="AF70" s="254"/>
      <c r="AJ70" s="254"/>
      <c r="AN70" s="254"/>
      <c r="AR70" s="254"/>
      <c r="AV70" s="254"/>
      <c r="AZ70" s="254"/>
      <c r="BD70" s="254"/>
      <c r="BH70" s="254"/>
      <c r="BL70" s="254"/>
      <c r="BP70" s="254"/>
      <c r="BT70" s="254"/>
      <c r="BX70" s="254"/>
    </row>
    <row r="71" spans="1:76" ht="12.75">
      <c r="A71" t="s">
        <v>17</v>
      </c>
      <c r="B71" s="28">
        <v>748000</v>
      </c>
      <c r="C71" s="3">
        <v>3046</v>
      </c>
      <c r="D71" s="261">
        <f>(B71/C71)*1000</f>
        <v>245567.95797767563</v>
      </c>
      <c r="H71" s="261"/>
      <c r="L71" s="261"/>
      <c r="P71" s="261"/>
      <c r="T71" s="261"/>
      <c r="X71" s="261"/>
      <c r="AB71" s="261"/>
      <c r="AF71" s="261"/>
      <c r="AJ71" s="261"/>
      <c r="AN71" s="261"/>
      <c r="AR71" s="261"/>
      <c r="AV71" s="261"/>
      <c r="AZ71" s="261"/>
      <c r="BD71" s="261"/>
      <c r="BH71" s="261"/>
      <c r="BL71" s="261"/>
      <c r="BP71" s="261"/>
      <c r="BT71" s="261"/>
      <c r="BX71" s="261"/>
    </row>
    <row r="72" spans="1:76" ht="12.75">
      <c r="A72" t="s">
        <v>16</v>
      </c>
      <c r="B72" s="3">
        <v>22430000</v>
      </c>
      <c r="C72" s="3">
        <v>85188</v>
      </c>
      <c r="D72" s="261">
        <f>(B72/C72)*1000</f>
        <v>263299.995304503</v>
      </c>
      <c r="H72" s="196"/>
      <c r="L72" s="196"/>
      <c r="P72" s="196"/>
      <c r="T72" s="196"/>
      <c r="X72" s="196"/>
      <c r="AB72" s="196"/>
      <c r="AF72" s="196"/>
      <c r="AJ72" s="196"/>
      <c r="AN72" s="196"/>
      <c r="AR72" s="196"/>
      <c r="AV72" s="196"/>
      <c r="AZ72" s="196"/>
      <c r="BD72" s="196"/>
      <c r="BH72" s="196"/>
      <c r="BL72" s="196"/>
      <c r="BP72" s="196"/>
      <c r="BT72" s="196"/>
      <c r="BX72" s="196"/>
    </row>
    <row r="73" spans="1:76" ht="12.75">
      <c r="A73" t="s">
        <v>18</v>
      </c>
      <c r="B73" s="3">
        <v>60000000</v>
      </c>
      <c r="C73" s="3">
        <v>91000</v>
      </c>
      <c r="D73" s="261">
        <f>(B73/C73)*1000</f>
        <v>659340.6593406594</v>
      </c>
      <c r="H73" s="196"/>
      <c r="L73" s="196"/>
      <c r="P73" s="196"/>
      <c r="T73" s="196"/>
      <c r="X73" s="196"/>
      <c r="AB73" s="196"/>
      <c r="AF73" s="196"/>
      <c r="AJ73" s="196"/>
      <c r="AN73" s="196"/>
      <c r="AR73" s="196"/>
      <c r="AV73" s="196"/>
      <c r="AZ73" s="196"/>
      <c r="BD73" s="196"/>
      <c r="BH73" s="196"/>
      <c r="BL73" s="196"/>
      <c r="BP73" s="196"/>
      <c r="BT73" s="196"/>
      <c r="BX73" s="196"/>
    </row>
    <row r="74" spans="1:76" ht="12.75">
      <c r="A74" t="s">
        <v>19</v>
      </c>
      <c r="B74" s="3">
        <v>18000000</v>
      </c>
      <c r="C74" s="3">
        <v>20123</v>
      </c>
      <c r="D74" s="261">
        <f>(B74/C74)*1000</f>
        <v>894498.8321820801</v>
      </c>
      <c r="H74" s="196"/>
      <c r="L74" s="196"/>
      <c r="P74" s="196"/>
      <c r="T74" s="196"/>
      <c r="X74" s="196"/>
      <c r="AB74" s="196"/>
      <c r="AF74" s="196"/>
      <c r="AJ74" s="196"/>
      <c r="AN74" s="196"/>
      <c r="AR74" s="196"/>
      <c r="AV74" s="196"/>
      <c r="AZ74" s="196"/>
      <c r="BD74" s="196"/>
      <c r="BH74" s="196"/>
      <c r="BL74" s="196"/>
      <c r="BP74" s="196"/>
      <c r="BT74" s="196"/>
      <c r="BX74" s="196"/>
    </row>
  </sheetData>
  <sheetProtection/>
  <printOptions/>
  <pageMargins left="0.25" right="0.25" top="1" bottom="0.5" header="0.5" footer="0.5"/>
  <pageSetup fitToWidth="4" fitToHeight="1" horizontalDpi="600" verticalDpi="600" orientation="landscape" scale="53" r:id="rId1"/>
  <colBreaks count="2" manualBreakCount="2">
    <brk id="30" max="73" man="1"/>
    <brk id="66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="60" zoomScalePageLayoutView="0" workbookViewId="0" topLeftCell="A1">
      <selection activeCell="A2" sqref="A2"/>
    </sheetView>
  </sheetViews>
  <sheetFormatPr defaultColWidth="8.8515625" defaultRowHeight="12.75"/>
  <cols>
    <col min="1" max="1" width="26.7109375" style="102" bestFit="1" customWidth="1"/>
    <col min="2" max="2" width="15.8515625" style="102" bestFit="1" customWidth="1"/>
    <col min="3" max="16" width="14.00390625" style="102" bestFit="1" customWidth="1"/>
    <col min="17" max="20" width="16.140625" style="102" bestFit="1" customWidth="1"/>
    <col min="21" max="21" width="14.421875" style="102" bestFit="1" customWidth="1"/>
    <col min="22" max="22" width="16.140625" style="102" bestFit="1" customWidth="1"/>
    <col min="23" max="23" width="15.57421875" style="102" bestFit="1" customWidth="1"/>
    <col min="24" max="24" width="16.28125" style="102" bestFit="1" customWidth="1"/>
    <col min="25" max="16384" width="8.8515625" style="102" customWidth="1"/>
  </cols>
  <sheetData>
    <row r="1" spans="1:2" ht="12.75">
      <c r="A1" s="14" t="s">
        <v>320</v>
      </c>
      <c r="B1" s="14"/>
    </row>
    <row r="2" spans="1:2" s="106" customFormat="1" ht="12.75">
      <c r="A2" s="144" t="s">
        <v>137</v>
      </c>
      <c r="B2" s="105"/>
    </row>
    <row r="3" spans="1:24" ht="12.75">
      <c r="A3" s="231"/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 t="s">
        <v>295</v>
      </c>
      <c r="V3" s="232"/>
      <c r="W3" s="232"/>
      <c r="X3" s="232"/>
    </row>
    <row r="4" spans="1:24" s="1" customFormat="1" ht="12.75">
      <c r="A4" s="2"/>
      <c r="B4" s="2"/>
      <c r="C4" s="2" t="s">
        <v>260</v>
      </c>
      <c r="D4" s="2" t="s">
        <v>261</v>
      </c>
      <c r="E4" s="2" t="s">
        <v>262</v>
      </c>
      <c r="F4" s="2" t="s">
        <v>263</v>
      </c>
      <c r="G4" s="2" t="s">
        <v>264</v>
      </c>
      <c r="H4" s="2" t="s">
        <v>271</v>
      </c>
      <c r="I4" s="2" t="s">
        <v>265</v>
      </c>
      <c r="J4" s="2" t="s">
        <v>266</v>
      </c>
      <c r="K4" s="2" t="s">
        <v>267</v>
      </c>
      <c r="L4" s="2" t="s">
        <v>268</v>
      </c>
      <c r="M4" s="2" t="s">
        <v>269</v>
      </c>
      <c r="N4" s="2" t="s">
        <v>270</v>
      </c>
      <c r="O4" s="2" t="s">
        <v>272</v>
      </c>
      <c r="P4" s="2" t="s">
        <v>273</v>
      </c>
      <c r="Q4" s="2" t="s">
        <v>274</v>
      </c>
      <c r="R4" s="2" t="s">
        <v>275</v>
      </c>
      <c r="S4" s="2" t="s">
        <v>276</v>
      </c>
      <c r="T4" s="2" t="s">
        <v>277</v>
      </c>
      <c r="U4" s="2" t="s">
        <v>250</v>
      </c>
      <c r="V4" s="234" t="s">
        <v>147</v>
      </c>
      <c r="W4" s="234" t="s">
        <v>148</v>
      </c>
      <c r="X4" s="234" t="s">
        <v>149</v>
      </c>
    </row>
    <row r="5" spans="1:24" ht="12.75">
      <c r="A5" s="235" t="s">
        <v>138</v>
      </c>
      <c r="B5" s="235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</row>
    <row r="6" spans="1:24" s="150" customFormat="1" ht="12.75">
      <c r="A6" s="236" t="s">
        <v>139</v>
      </c>
      <c r="B6" s="236"/>
      <c r="C6" s="237">
        <f>'Cash Flow'!B40</f>
        <v>492231.83904109587</v>
      </c>
      <c r="D6" s="237">
        <f>'Cash Flow'!C40</f>
        <v>464273.7632876712</v>
      </c>
      <c r="E6" s="237">
        <f>'Cash Flow'!D40</f>
        <v>432533.9523287671</v>
      </c>
      <c r="F6" s="237">
        <f>'Cash Flow'!E40</f>
        <v>404294.141369863</v>
      </c>
      <c r="G6" s="237">
        <f>'Cash Flow'!F40</f>
        <v>376054.3304109589</v>
      </c>
      <c r="H6" s="237">
        <f>'Cash Flow'!G40</f>
        <v>351699.4509589041</v>
      </c>
      <c r="I6" s="237">
        <f>'Cash Flow'!H40</f>
        <v>318945.0286986301</v>
      </c>
      <c r="J6" s="237">
        <f>'Cash Flow'!I40</f>
        <v>272039.73942922376</v>
      </c>
      <c r="K6" s="237">
        <f>'Cash Flow'!J40</f>
        <v>229854.08029680364</v>
      </c>
      <c r="L6" s="237">
        <f>'Cash Flow'!K40</f>
        <v>183247.0341780822</v>
      </c>
      <c r="M6" s="237">
        <f>'Cash Flow'!L40</f>
        <v>136289.33394977165</v>
      </c>
      <c r="N6" s="237">
        <f>'Cash Flow'!M40</f>
        <v>93654.96248858445</v>
      </c>
      <c r="O6" s="237">
        <f>'Cash Flow'!N40</f>
        <v>1020328.0210117009</v>
      </c>
      <c r="P6" s="237">
        <f>'Cash Flow'!O40</f>
        <v>924764.5662457192</v>
      </c>
      <c r="Q6" s="237">
        <f>'Cash Flow'!P40</f>
        <v>837022.3768906964</v>
      </c>
      <c r="R6" s="237">
        <f>'Cash Flow'!Q40</f>
        <v>756095.0402753996</v>
      </c>
      <c r="S6" s="237">
        <f>'Cash Flow'!R40</f>
        <v>682914.2687285959</v>
      </c>
      <c r="T6" s="237">
        <f>'Cash Flow'!S40</f>
        <v>618672.7934146689</v>
      </c>
      <c r="U6" s="237">
        <f>'Cash Flow'!T40</f>
        <v>585304.013170662</v>
      </c>
      <c r="V6" s="237">
        <f>'Cash Flow'!U40</f>
        <v>796984.7419805934</v>
      </c>
      <c r="W6" s="237">
        <f>'Cash Flow'!V40</f>
        <v>3142245.1112683713</v>
      </c>
      <c r="X6" s="237">
        <f>'Cash Flow'!W40</f>
        <v>9521518.192055507</v>
      </c>
    </row>
    <row r="7" spans="1:24" ht="12.75">
      <c r="A7" s="238" t="s">
        <v>140</v>
      </c>
      <c r="B7" s="238" t="s">
        <v>36</v>
      </c>
      <c r="C7" s="239">
        <f>'Working Capital'!C9</f>
        <v>0</v>
      </c>
      <c r="D7" s="239">
        <f>'Working Capital'!D9</f>
        <v>0</v>
      </c>
      <c r="E7" s="239">
        <f>'Working Capital'!E9</f>
        <v>0</v>
      </c>
      <c r="F7" s="239">
        <f>'Working Capital'!F9</f>
        <v>0</v>
      </c>
      <c r="G7" s="239">
        <f>'Working Capital'!G9</f>
        <v>0</v>
      </c>
      <c r="H7" s="239">
        <f>'Working Capital'!H9</f>
        <v>1315.0684931506848</v>
      </c>
      <c r="I7" s="239">
        <f>'Working Capital'!I9</f>
        <v>1758.904109589041</v>
      </c>
      <c r="J7" s="239">
        <f>'Working Capital'!J9</f>
        <v>2291.5068493150684</v>
      </c>
      <c r="K7" s="239">
        <f>'Working Capital'!K9</f>
        <v>2912.876712328767</v>
      </c>
      <c r="L7" s="239">
        <f>'Working Capital'!L9</f>
        <v>3623.013698630137</v>
      </c>
      <c r="M7" s="239">
        <f>'Working Capital'!M9</f>
        <v>4421.9178082191775</v>
      </c>
      <c r="N7" s="239">
        <f>'Working Capital'!N9</f>
        <v>5309.58904109589</v>
      </c>
      <c r="O7" s="239">
        <f>'Working Capital'!O9</f>
        <v>6729.863013698629</v>
      </c>
      <c r="P7" s="239">
        <f>'Working Capital'!P9</f>
        <v>7869.04109589041</v>
      </c>
      <c r="Q7" s="239">
        <f>'Working Capital'!Q9</f>
        <v>9103.150684931506</v>
      </c>
      <c r="R7" s="239">
        <f>'Working Capital'!R9</f>
        <v>10520.547945205479</v>
      </c>
      <c r="S7" s="239">
        <f>'Working Capital'!S9</f>
        <v>12121.232876712327</v>
      </c>
      <c r="T7" s="239">
        <f>'Working Capital'!T9</f>
        <v>13993.561643835616</v>
      </c>
      <c r="U7" s="237">
        <f>'Working Capital'!U9</f>
        <v>164384.38356164383</v>
      </c>
      <c r="V7" s="237">
        <f>'Working Capital'!V9</f>
        <v>600909.0410958903</v>
      </c>
      <c r="W7" s="239">
        <f>'Working Capital'!W9</f>
        <v>1169018.6301369863</v>
      </c>
      <c r="X7" s="239">
        <f>'Working Capital'!X9</f>
        <v>1556202.3287671232</v>
      </c>
    </row>
    <row r="8" spans="1:24" s="151" customFormat="1" ht="12.75" hidden="1">
      <c r="A8" s="236" t="s">
        <v>141</v>
      </c>
      <c r="B8" s="236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</row>
    <row r="9" spans="1:24" ht="12.75">
      <c r="A9" s="238"/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7"/>
      <c r="V9" s="237"/>
      <c r="W9" s="239"/>
      <c r="X9" s="239"/>
    </row>
    <row r="10" spans="1:24" ht="12.75">
      <c r="A10" s="238" t="s">
        <v>86</v>
      </c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7"/>
      <c r="V10" s="237"/>
      <c r="W10" s="239"/>
      <c r="X10" s="239"/>
    </row>
    <row r="11" spans="1:24" ht="12.75">
      <c r="A11" s="238"/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7"/>
      <c r="V11" s="237"/>
      <c r="W11" s="239"/>
      <c r="X11" s="239"/>
    </row>
    <row r="12" spans="1:24" ht="12.75">
      <c r="A12" s="238"/>
      <c r="B12" s="238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9"/>
      <c r="X12" s="237"/>
    </row>
    <row r="13" spans="1:24" ht="12.75">
      <c r="A13" s="238" t="s">
        <v>13</v>
      </c>
      <c r="B13" s="238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9"/>
      <c r="X13" s="237"/>
    </row>
    <row r="14" spans="1:24" ht="12.75">
      <c r="A14" s="238"/>
      <c r="B14" s="238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9"/>
      <c r="X14" s="237"/>
    </row>
    <row r="15" spans="1:24" ht="12.75">
      <c r="A15" s="238" t="s">
        <v>191</v>
      </c>
      <c r="B15" s="238"/>
      <c r="C15" s="239">
        <f>Expenses!D76+Expenses!C76+Expenses!B76</f>
        <v>4500</v>
      </c>
      <c r="D15" s="239">
        <f>Expenses!E76+Expenses!D76+Expenses!C76</f>
        <v>7500</v>
      </c>
      <c r="E15" s="239">
        <f>Expenses!F76+Expenses!E76+Expenses!D76</f>
        <v>7500</v>
      </c>
      <c r="F15" s="239">
        <f>Expenses!G76+Expenses!F76+Expenses!E76</f>
        <v>3000</v>
      </c>
      <c r="G15" s="239">
        <f>Expenses!H76+Expenses!G76+Expenses!F76</f>
        <v>0</v>
      </c>
      <c r="H15" s="239">
        <f>Expenses!I76+Expenses!H76+Expenses!G76</f>
        <v>0</v>
      </c>
      <c r="I15" s="239">
        <f>Expenses!J76+Expenses!I76+Expenses!H76</f>
        <v>9000</v>
      </c>
      <c r="J15" s="239">
        <f>Expenses!K76+Expenses!J76+Expenses!I76</f>
        <v>10500</v>
      </c>
      <c r="K15" s="239">
        <f>Expenses!L76+Expenses!K76+Expenses!J76</f>
        <v>12000</v>
      </c>
      <c r="L15" s="239">
        <f>Expenses!M76+Expenses!L76+Expenses!K76</f>
        <v>4500</v>
      </c>
      <c r="M15" s="239">
        <f>Expenses!N76+Expenses!M76+Expenses!L76</f>
        <v>4500</v>
      </c>
      <c r="N15" s="239">
        <f>Expenses!O76+Expenses!N76+Expenses!M76</f>
        <v>4500</v>
      </c>
      <c r="O15" s="239">
        <f>Expenses!P76+Expenses!O76+Expenses!N76</f>
        <v>12000</v>
      </c>
      <c r="P15" s="239">
        <f>Expenses!Q76+Expenses!P76+Expenses!O76</f>
        <v>12000</v>
      </c>
      <c r="Q15" s="239">
        <f>Expenses!R76+Expenses!Q76+Expenses!P76</f>
        <v>12000</v>
      </c>
      <c r="R15" s="239">
        <f>Expenses!S76+Expenses!R76+Expenses!Q76</f>
        <v>4500</v>
      </c>
      <c r="S15" s="239">
        <f>Expenses!T76+Expenses!S76+Expenses!R76</f>
        <v>4500</v>
      </c>
      <c r="T15" s="239">
        <f>Expenses!U76+Expenses!T76+Expenses!S76</f>
        <v>4500</v>
      </c>
      <c r="U15" s="237">
        <f>Expenses!V76</f>
        <v>18750</v>
      </c>
      <c r="V15" s="237">
        <f>Expenses!W76</f>
        <v>69000</v>
      </c>
      <c r="W15" s="239">
        <f>Expenses!X76+Expenses!W76</f>
        <v>132000</v>
      </c>
      <c r="X15" s="239">
        <f>Expenses!Y76+Expenses!X76+Expenses!W76</f>
        <v>249000</v>
      </c>
    </row>
    <row r="16" spans="1:24" ht="12.75">
      <c r="A16" s="238" t="s">
        <v>143</v>
      </c>
      <c r="B16" s="238"/>
      <c r="C16" s="237">
        <f>Expenses!D79</f>
        <v>125</v>
      </c>
      <c r="D16" s="237">
        <f>Expenses!E79</f>
        <v>250</v>
      </c>
      <c r="E16" s="237">
        <f>Expenses!F79</f>
        <v>375</v>
      </c>
      <c r="F16" s="237">
        <f>Expenses!G79</f>
        <v>500</v>
      </c>
      <c r="G16" s="237">
        <f>Expenses!H79</f>
        <v>625</v>
      </c>
      <c r="H16" s="237">
        <f>Expenses!I79</f>
        <v>750</v>
      </c>
      <c r="I16" s="237">
        <f>Expenses!J79</f>
        <v>1125</v>
      </c>
      <c r="J16" s="237">
        <f>Expenses!K79</f>
        <v>1541.6666666666667</v>
      </c>
      <c r="K16" s="237">
        <f>Expenses!L79</f>
        <v>2000</v>
      </c>
      <c r="L16" s="237">
        <f>Expenses!M79</f>
        <v>2500</v>
      </c>
      <c r="M16" s="237">
        <f>Expenses!N79</f>
        <v>3041.666666666667</v>
      </c>
      <c r="N16" s="237">
        <f>Expenses!O79</f>
        <v>3625.0000000000005</v>
      </c>
      <c r="O16" s="237">
        <f>Expenses!P79</f>
        <v>4458.333333333334</v>
      </c>
      <c r="P16" s="237">
        <f>Expenses!Q79</f>
        <v>5333.333333333334</v>
      </c>
      <c r="Q16" s="237">
        <f>Expenses!R79</f>
        <v>6250.000000000001</v>
      </c>
      <c r="R16" s="237">
        <f>Expenses!S79</f>
        <v>7208.333333333334</v>
      </c>
      <c r="S16" s="237">
        <f>Expenses!T79</f>
        <v>8208.333333333334</v>
      </c>
      <c r="T16" s="237">
        <f>Expenses!U79</f>
        <v>9250</v>
      </c>
      <c r="U16" s="237">
        <f>Expenses!V79</f>
        <v>16541.666666666664</v>
      </c>
      <c r="V16" s="237">
        <f>Expenses!W79</f>
        <v>46833.33333333333</v>
      </c>
      <c r="W16" s="237">
        <f>Expenses!X79</f>
        <v>98125</v>
      </c>
      <c r="X16" s="237">
        <f>Expenses!Y79</f>
        <v>188416.66666666666</v>
      </c>
    </row>
    <row r="17" spans="1:24" ht="12.75">
      <c r="A17" s="238" t="s">
        <v>144</v>
      </c>
      <c r="B17" s="238"/>
      <c r="C17" s="239">
        <f aca="true" t="shared" si="0" ref="C17:Q17">C15-C16</f>
        <v>4375</v>
      </c>
      <c r="D17" s="239">
        <f t="shared" si="0"/>
        <v>7250</v>
      </c>
      <c r="E17" s="239">
        <f t="shared" si="0"/>
        <v>7125</v>
      </c>
      <c r="F17" s="239">
        <f t="shared" si="0"/>
        <v>2500</v>
      </c>
      <c r="G17" s="239">
        <f t="shared" si="0"/>
        <v>-625</v>
      </c>
      <c r="H17" s="239">
        <f t="shared" si="0"/>
        <v>-750</v>
      </c>
      <c r="I17" s="239">
        <f t="shared" si="0"/>
        <v>7875</v>
      </c>
      <c r="J17" s="239">
        <f t="shared" si="0"/>
        <v>8958.333333333334</v>
      </c>
      <c r="K17" s="239">
        <f t="shared" si="0"/>
        <v>10000</v>
      </c>
      <c r="L17" s="239">
        <f t="shared" si="0"/>
        <v>2000</v>
      </c>
      <c r="M17" s="239">
        <f t="shared" si="0"/>
        <v>1458.333333333333</v>
      </c>
      <c r="N17" s="239">
        <f t="shared" si="0"/>
        <v>874.9999999999995</v>
      </c>
      <c r="O17" s="239">
        <f t="shared" si="0"/>
        <v>7541.666666666666</v>
      </c>
      <c r="P17" s="239">
        <f t="shared" si="0"/>
        <v>6666.666666666666</v>
      </c>
      <c r="Q17" s="239">
        <f t="shared" si="0"/>
        <v>5749.999999999999</v>
      </c>
      <c r="R17" s="239">
        <f aca="true" t="shared" si="1" ref="R17:X17">R15-R16</f>
        <v>-2708.333333333334</v>
      </c>
      <c r="S17" s="239">
        <f t="shared" si="1"/>
        <v>-3708.333333333334</v>
      </c>
      <c r="T17" s="239">
        <f t="shared" si="1"/>
        <v>-4750</v>
      </c>
      <c r="U17" s="239">
        <f t="shared" si="1"/>
        <v>2208.3333333333358</v>
      </c>
      <c r="V17" s="239">
        <f t="shared" si="1"/>
        <v>22166.66666666667</v>
      </c>
      <c r="W17" s="239">
        <f t="shared" si="1"/>
        <v>33875</v>
      </c>
      <c r="X17" s="239">
        <f t="shared" si="1"/>
        <v>60583.33333333334</v>
      </c>
    </row>
    <row r="18" spans="1:24" ht="12.75">
      <c r="A18" s="238"/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1:24" ht="12.75">
      <c r="A19" s="238" t="s">
        <v>87</v>
      </c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</row>
    <row r="20" spans="1:24" ht="12.75">
      <c r="A20" s="238"/>
      <c r="B20" s="238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9"/>
      <c r="X20" s="237"/>
    </row>
    <row r="21" spans="1:24" s="151" customFormat="1" ht="12.75">
      <c r="A21" s="236" t="s">
        <v>145</v>
      </c>
      <c r="B21" s="236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</row>
    <row r="22" spans="1:24" s="150" customFormat="1" ht="12.75">
      <c r="A22" s="236" t="s">
        <v>53</v>
      </c>
      <c r="B22" s="236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1:24" s="150" customFormat="1" ht="12.75">
      <c r="A23" s="236"/>
      <c r="B23" s="236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1:24" ht="12.75">
      <c r="A24" s="238" t="s">
        <v>54</v>
      </c>
      <c r="B24" s="238"/>
      <c r="C24" s="237">
        <f aca="true" t="shared" si="2" ref="C24:Q24">C6+C7+C10+C11+C13+C17+C19</f>
        <v>496606.83904109587</v>
      </c>
      <c r="D24" s="237">
        <f t="shared" si="2"/>
        <v>471523.7632876712</v>
      </c>
      <c r="E24" s="237">
        <f t="shared" si="2"/>
        <v>439658.9523287671</v>
      </c>
      <c r="F24" s="237">
        <f t="shared" si="2"/>
        <v>406794.141369863</v>
      </c>
      <c r="G24" s="237">
        <f t="shared" si="2"/>
        <v>375429.3304109589</v>
      </c>
      <c r="H24" s="237">
        <f t="shared" si="2"/>
        <v>352264.5194520548</v>
      </c>
      <c r="I24" s="237">
        <f t="shared" si="2"/>
        <v>328578.93280821916</v>
      </c>
      <c r="J24" s="237">
        <f t="shared" si="2"/>
        <v>283289.57961187215</v>
      </c>
      <c r="K24" s="237">
        <f t="shared" si="2"/>
        <v>242766.9570091324</v>
      </c>
      <c r="L24" s="237">
        <f t="shared" si="2"/>
        <v>188870.04787671234</v>
      </c>
      <c r="M24" s="237">
        <f t="shared" si="2"/>
        <v>142169.58509132417</v>
      </c>
      <c r="N24" s="237">
        <f t="shared" si="2"/>
        <v>99839.55152968035</v>
      </c>
      <c r="O24" s="237">
        <f t="shared" si="2"/>
        <v>1034599.5506920661</v>
      </c>
      <c r="P24" s="237">
        <f t="shared" si="2"/>
        <v>939300.2740082763</v>
      </c>
      <c r="Q24" s="237">
        <f t="shared" si="2"/>
        <v>851875.5275756279</v>
      </c>
      <c r="R24" s="237">
        <f aca="true" t="shared" si="3" ref="R24:X24">R6+R7+R10+R11+R13+R17+R19</f>
        <v>763907.2548872717</v>
      </c>
      <c r="S24" s="237">
        <f t="shared" si="3"/>
        <v>691327.1682719749</v>
      </c>
      <c r="T24" s="237">
        <f t="shared" si="3"/>
        <v>627916.3550585045</v>
      </c>
      <c r="U24" s="237">
        <f t="shared" si="3"/>
        <v>751896.7300656392</v>
      </c>
      <c r="V24" s="237">
        <f t="shared" si="3"/>
        <v>1420060.4497431505</v>
      </c>
      <c r="W24" s="237">
        <f t="shared" si="3"/>
        <v>4345138.741405358</v>
      </c>
      <c r="X24" s="237">
        <f t="shared" si="3"/>
        <v>11138303.854155963</v>
      </c>
    </row>
    <row r="25" spans="1:24" ht="12.75">
      <c r="A25" s="238"/>
      <c r="B25" s="238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9"/>
      <c r="X25" s="237"/>
    </row>
    <row r="26" spans="1:24" ht="12.75">
      <c r="A26" s="238" t="s">
        <v>150</v>
      </c>
      <c r="B26" s="238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9"/>
      <c r="X26" s="237"/>
    </row>
    <row r="27" spans="1:24" ht="12.75">
      <c r="A27" s="238" t="s">
        <v>151</v>
      </c>
      <c r="B27" s="238" t="s">
        <v>113</v>
      </c>
      <c r="C27" s="237">
        <f>'Working Capital'!C14</f>
        <v>109.58904109589041</v>
      </c>
      <c r="D27" s="237">
        <f>'Working Capital'!D14</f>
        <v>657.5342465753424</v>
      </c>
      <c r="E27" s="237">
        <f>'Working Capital'!E14</f>
        <v>109.58904109589041</v>
      </c>
      <c r="F27" s="237">
        <f>'Working Capital'!F14</f>
        <v>109.58904109589041</v>
      </c>
      <c r="G27" s="237">
        <f>'Working Capital'!G14</f>
        <v>109.58904109589041</v>
      </c>
      <c r="H27" s="237">
        <f>'Working Capital'!H14</f>
        <v>109.58904109589041</v>
      </c>
      <c r="I27" s="237">
        <f>'Working Capital'!I14</f>
        <v>931.5068493150684</v>
      </c>
      <c r="J27" s="237">
        <f>'Working Capital'!J14</f>
        <v>657.5342465753424</v>
      </c>
      <c r="K27" s="237">
        <f>'Working Capital'!K14</f>
        <v>657.5342465753424</v>
      </c>
      <c r="L27" s="237">
        <f>'Working Capital'!L14</f>
        <v>657.5342465753424</v>
      </c>
      <c r="M27" s="237">
        <f>'Working Capital'!M14</f>
        <v>657.5342465753424</v>
      </c>
      <c r="N27" s="237">
        <f>'Working Capital'!N14</f>
        <v>657.5342465753424</v>
      </c>
      <c r="O27" s="237">
        <f>'Working Capital'!O14</f>
        <v>931.5068493150684</v>
      </c>
      <c r="P27" s="237">
        <f>'Working Capital'!P14</f>
        <v>657.5342465753424</v>
      </c>
      <c r="Q27" s="237">
        <f>'Working Capital'!Q14</f>
        <v>657.5342465753424</v>
      </c>
      <c r="R27" s="237">
        <f>'Working Capital'!R14</f>
        <v>657.5342465753424</v>
      </c>
      <c r="S27" s="237">
        <f>'Working Capital'!S14</f>
        <v>657.5342465753424</v>
      </c>
      <c r="T27" s="237">
        <f>'Working Capital'!T14</f>
        <v>657.5342465753424</v>
      </c>
      <c r="U27" s="237">
        <f>'Working Capital'!U14</f>
        <v>3013.698630136986</v>
      </c>
      <c r="V27" s="237">
        <f>'Working Capital'!V14</f>
        <v>18082.191780821915</v>
      </c>
      <c r="W27" s="237">
        <f>'Working Capital'!W14</f>
        <v>16438.35616438356</v>
      </c>
      <c r="X27" s="237">
        <f>'Working Capital'!X14</f>
        <v>20821.917808219176</v>
      </c>
    </row>
    <row r="28" spans="1:24" s="151" customFormat="1" ht="12.75">
      <c r="A28" s="236" t="s">
        <v>152</v>
      </c>
      <c r="B28" s="240" t="s">
        <v>153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</row>
    <row r="29" spans="1:24" s="151" customFormat="1" ht="12.75">
      <c r="A29" s="236" t="s">
        <v>88</v>
      </c>
      <c r="B29" s="240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</row>
    <row r="30" spans="1:24" ht="12.75">
      <c r="A30" s="238" t="s">
        <v>154</v>
      </c>
      <c r="B30" s="241" t="s">
        <v>155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7"/>
      <c r="V30" s="237"/>
      <c r="W30" s="239"/>
      <c r="X30" s="239"/>
    </row>
    <row r="31" spans="1:24" ht="12.75">
      <c r="A31" s="238" t="s">
        <v>35</v>
      </c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7"/>
      <c r="V31" s="237"/>
      <c r="W31" s="239"/>
      <c r="X31" s="239"/>
    </row>
    <row r="32" spans="1:24" s="151" customFormat="1" ht="12.75">
      <c r="A32" s="236" t="s">
        <v>26</v>
      </c>
      <c r="B32" s="236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1:24" ht="12.75">
      <c r="A33" s="238" t="s">
        <v>27</v>
      </c>
      <c r="B33" s="238"/>
      <c r="C33" s="239">
        <f aca="true" t="shared" si="4" ref="C33:Q33">SUM(C27:C32)</f>
        <v>109.58904109589041</v>
      </c>
      <c r="D33" s="239">
        <f t="shared" si="4"/>
        <v>657.5342465753424</v>
      </c>
      <c r="E33" s="239">
        <f t="shared" si="4"/>
        <v>109.58904109589041</v>
      </c>
      <c r="F33" s="239">
        <f t="shared" si="4"/>
        <v>109.58904109589041</v>
      </c>
      <c r="G33" s="239">
        <f t="shared" si="4"/>
        <v>109.58904109589041</v>
      </c>
      <c r="H33" s="239">
        <f t="shared" si="4"/>
        <v>109.58904109589041</v>
      </c>
      <c r="I33" s="239">
        <f t="shared" si="4"/>
        <v>931.5068493150684</v>
      </c>
      <c r="J33" s="239">
        <f t="shared" si="4"/>
        <v>657.5342465753424</v>
      </c>
      <c r="K33" s="239">
        <f t="shared" si="4"/>
        <v>657.5342465753424</v>
      </c>
      <c r="L33" s="239">
        <f t="shared" si="4"/>
        <v>657.5342465753424</v>
      </c>
      <c r="M33" s="239">
        <f t="shared" si="4"/>
        <v>657.5342465753424</v>
      </c>
      <c r="N33" s="239">
        <f t="shared" si="4"/>
        <v>657.5342465753424</v>
      </c>
      <c r="O33" s="239">
        <f t="shared" si="4"/>
        <v>931.5068493150684</v>
      </c>
      <c r="P33" s="239">
        <f t="shared" si="4"/>
        <v>657.5342465753424</v>
      </c>
      <c r="Q33" s="239">
        <f t="shared" si="4"/>
        <v>657.5342465753424</v>
      </c>
      <c r="R33" s="239">
        <f aca="true" t="shared" si="5" ref="R33:X33">SUM(R27:R32)</f>
        <v>657.5342465753424</v>
      </c>
      <c r="S33" s="239">
        <f t="shared" si="5"/>
        <v>657.5342465753424</v>
      </c>
      <c r="T33" s="239">
        <f t="shared" si="5"/>
        <v>657.5342465753424</v>
      </c>
      <c r="U33" s="239">
        <f t="shared" si="5"/>
        <v>3013.698630136986</v>
      </c>
      <c r="V33" s="239">
        <f t="shared" si="5"/>
        <v>18082.191780821915</v>
      </c>
      <c r="W33" s="239">
        <f t="shared" si="5"/>
        <v>16438.35616438356</v>
      </c>
      <c r="X33" s="239">
        <f t="shared" si="5"/>
        <v>20821.917808219176</v>
      </c>
    </row>
    <row r="34" spans="1:24" ht="12.75">
      <c r="A34" s="238"/>
      <c r="B34" s="238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9"/>
      <c r="X34" s="237"/>
    </row>
    <row r="35" spans="1:24" ht="12.75">
      <c r="A35" s="238" t="s">
        <v>28</v>
      </c>
      <c r="B35" s="238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9"/>
      <c r="X35" s="237"/>
    </row>
    <row r="36" spans="1:24" s="108" customFormat="1" ht="12.75" hidden="1">
      <c r="A36" s="238" t="s">
        <v>29</v>
      </c>
      <c r="B36" s="238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9"/>
      <c r="X36" s="237"/>
    </row>
    <row r="37" spans="1:24" ht="12.75">
      <c r="A37" s="238" t="s">
        <v>30</v>
      </c>
      <c r="B37" s="238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9"/>
      <c r="X37" s="237"/>
    </row>
    <row r="38" spans="1:24" ht="12.75">
      <c r="A38" s="238"/>
      <c r="B38" s="238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9"/>
      <c r="X38" s="237"/>
    </row>
    <row r="39" spans="1:24" ht="12.75">
      <c r="A39" s="238" t="s">
        <v>31</v>
      </c>
      <c r="B39" s="238"/>
      <c r="C39" s="237">
        <f aca="true" t="shared" si="6" ref="C39:Q39">C33+C37</f>
        <v>109.58904109589041</v>
      </c>
      <c r="D39" s="237">
        <f t="shared" si="6"/>
        <v>657.5342465753424</v>
      </c>
      <c r="E39" s="237">
        <f t="shared" si="6"/>
        <v>109.58904109589041</v>
      </c>
      <c r="F39" s="237">
        <f t="shared" si="6"/>
        <v>109.58904109589041</v>
      </c>
      <c r="G39" s="237">
        <f t="shared" si="6"/>
        <v>109.58904109589041</v>
      </c>
      <c r="H39" s="237">
        <f t="shared" si="6"/>
        <v>109.58904109589041</v>
      </c>
      <c r="I39" s="237">
        <f t="shared" si="6"/>
        <v>931.5068493150684</v>
      </c>
      <c r="J39" s="237">
        <f t="shared" si="6"/>
        <v>657.5342465753424</v>
      </c>
      <c r="K39" s="237">
        <f t="shared" si="6"/>
        <v>657.5342465753424</v>
      </c>
      <c r="L39" s="237">
        <f t="shared" si="6"/>
        <v>657.5342465753424</v>
      </c>
      <c r="M39" s="237">
        <f t="shared" si="6"/>
        <v>657.5342465753424</v>
      </c>
      <c r="N39" s="237">
        <f t="shared" si="6"/>
        <v>657.5342465753424</v>
      </c>
      <c r="O39" s="237">
        <f t="shared" si="6"/>
        <v>931.5068493150684</v>
      </c>
      <c r="P39" s="237">
        <f t="shared" si="6"/>
        <v>657.5342465753424</v>
      </c>
      <c r="Q39" s="237">
        <f t="shared" si="6"/>
        <v>657.5342465753424</v>
      </c>
      <c r="R39" s="237">
        <f aca="true" t="shared" si="7" ref="R39:X39">R33+R37</f>
        <v>657.5342465753424</v>
      </c>
      <c r="S39" s="237">
        <f t="shared" si="7"/>
        <v>657.5342465753424</v>
      </c>
      <c r="T39" s="237">
        <f t="shared" si="7"/>
        <v>657.5342465753424</v>
      </c>
      <c r="U39" s="237">
        <f t="shared" si="7"/>
        <v>3013.698630136986</v>
      </c>
      <c r="V39" s="237">
        <f t="shared" si="7"/>
        <v>18082.191780821915</v>
      </c>
      <c r="W39" s="237">
        <f t="shared" si="7"/>
        <v>16438.35616438356</v>
      </c>
      <c r="X39" s="237">
        <f t="shared" si="7"/>
        <v>20821.917808219176</v>
      </c>
    </row>
    <row r="40" spans="1:24" ht="12.75">
      <c r="A40" s="238"/>
      <c r="B40" s="238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9"/>
      <c r="X40" s="237"/>
    </row>
    <row r="41" spans="1:24" ht="12.75">
      <c r="A41" s="238" t="s">
        <v>32</v>
      </c>
      <c r="B41" s="238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9"/>
      <c r="X41" s="237"/>
    </row>
    <row r="42" spans="1:24" ht="12.75">
      <c r="A42" s="238" t="s">
        <v>33</v>
      </c>
      <c r="B42" s="238"/>
      <c r="C42" s="239">
        <f>B42+'P&amp;L'!C33</f>
        <v>-12502.75</v>
      </c>
      <c r="D42" s="239">
        <f>C42+'P&amp;L'!D33</f>
        <v>-37511.11</v>
      </c>
      <c r="E42" s="239">
        <f>D42+'P&amp;L'!E33</f>
        <v>-56019.47</v>
      </c>
      <c r="F42" s="239">
        <f>E42+'P&amp;L'!F33</f>
        <v>-74527.83</v>
      </c>
      <c r="G42" s="239">
        <f>F42+'P&amp;L'!G33</f>
        <v>-93036.19</v>
      </c>
      <c r="H42" s="239">
        <f>G42+'P&amp;L'!H33</f>
        <v>-106344.55</v>
      </c>
      <c r="I42" s="239">
        <f>H42+'P&amp;L'!I33</f>
        <v>-140480.535</v>
      </c>
      <c r="J42" s="239">
        <f>I42+'P&amp;L'!J33</f>
        <v>-169287.60333333333</v>
      </c>
      <c r="K42" s="239">
        <f>J42+'P&amp;L'!K33</f>
        <v>-195664.755</v>
      </c>
      <c r="L42" s="239">
        <f>K42+'P&amp;L'!L33</f>
        <v>-227103.24</v>
      </c>
      <c r="M42" s="239">
        <f>L42+'P&amp;L'!M33</f>
        <v>-255409.80833333335</v>
      </c>
      <c r="N42" s="239">
        <f>M42+'P&amp;L'!N33</f>
        <v>-280233.46</v>
      </c>
      <c r="O42" s="239">
        <f>N42+'P&amp;L'!O33</f>
        <v>-344228.7969791667</v>
      </c>
      <c r="P42" s="239">
        <f>O42+'P&amp;L'!P33</f>
        <v>-400496.71729166666</v>
      </c>
      <c r="Q42" s="239">
        <f>P42+'P&amp;L'!Q33</f>
        <v>-451911.8459375</v>
      </c>
      <c r="R42" s="239">
        <f>Q42+'P&amp;L'!R33</f>
        <v>-497749.4329166667</v>
      </c>
      <c r="S42" s="239">
        <f>R42+'P&amp;L'!S33</f>
        <v>-537284.7282291667</v>
      </c>
      <c r="T42" s="239">
        <f>S42+'P&amp;L'!T33</f>
        <v>-569443.606875</v>
      </c>
      <c r="U42" s="239">
        <f>'P&amp;L'!U33</f>
        <v>119276.55729166663</v>
      </c>
      <c r="V42" s="239">
        <f>U42+'P&amp;L'!V33</f>
        <v>750266.6302083334</v>
      </c>
      <c r="W42" s="239">
        <f>V42+'P&amp;L'!W33</f>
        <v>3211224.872070313</v>
      </c>
      <c r="X42" s="239">
        <f>W42+'P&amp;L'!X33</f>
        <v>8440875.062174479</v>
      </c>
    </row>
    <row r="43" spans="1:24" ht="12.75">
      <c r="A43" s="238" t="s">
        <v>162</v>
      </c>
      <c r="B43" s="238"/>
      <c r="C43" s="239">
        <v>2000000</v>
      </c>
      <c r="D43" s="239">
        <v>2000000</v>
      </c>
      <c r="E43" s="239">
        <v>2000000</v>
      </c>
      <c r="F43" s="239">
        <v>2000000</v>
      </c>
      <c r="G43" s="239">
        <v>2000000</v>
      </c>
      <c r="H43" s="239">
        <v>2000000</v>
      </c>
      <c r="I43" s="239">
        <v>2000000</v>
      </c>
      <c r="J43" s="239">
        <v>2000000</v>
      </c>
      <c r="K43" s="239">
        <v>2000000</v>
      </c>
      <c r="L43" s="239">
        <v>2000000</v>
      </c>
      <c r="M43" s="239">
        <v>2000000</v>
      </c>
      <c r="N43" s="239">
        <v>2000000</v>
      </c>
      <c r="O43" s="239">
        <v>2000000</v>
      </c>
      <c r="P43" s="239">
        <v>2000000</v>
      </c>
      <c r="Q43" s="239">
        <v>2000000</v>
      </c>
      <c r="R43" s="239">
        <v>2000000</v>
      </c>
      <c r="S43" s="239">
        <v>2000000</v>
      </c>
      <c r="T43" s="239">
        <v>2000000</v>
      </c>
      <c r="U43" s="239">
        <v>300000</v>
      </c>
      <c r="V43" s="239">
        <v>3300000</v>
      </c>
      <c r="W43" s="239">
        <v>2000000</v>
      </c>
      <c r="X43" s="239">
        <v>2000000</v>
      </c>
    </row>
    <row r="44" spans="1:24" ht="12.75">
      <c r="A44" s="238" t="s">
        <v>171</v>
      </c>
      <c r="B44" s="238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9"/>
      <c r="V44" s="239"/>
      <c r="W44" s="239"/>
      <c r="X44" s="237"/>
    </row>
    <row r="45" spans="1:24" ht="12.75">
      <c r="A45" s="238" t="s">
        <v>142</v>
      </c>
      <c r="B45" s="238"/>
      <c r="C45" s="239">
        <f aca="true" t="shared" si="8" ref="C45:Q45">SUM(C42:C44)</f>
        <v>1987497.25</v>
      </c>
      <c r="D45" s="239">
        <f t="shared" si="8"/>
        <v>1962488.89</v>
      </c>
      <c r="E45" s="239">
        <f t="shared" si="8"/>
        <v>1943980.53</v>
      </c>
      <c r="F45" s="239">
        <f t="shared" si="8"/>
        <v>1925472.17</v>
      </c>
      <c r="G45" s="239">
        <f t="shared" si="8"/>
        <v>1906963.81</v>
      </c>
      <c r="H45" s="239">
        <f t="shared" si="8"/>
        <v>1893655.45</v>
      </c>
      <c r="I45" s="239">
        <f t="shared" si="8"/>
        <v>1859519.465</v>
      </c>
      <c r="J45" s="239">
        <f t="shared" si="8"/>
        <v>1830712.3966666667</v>
      </c>
      <c r="K45" s="239">
        <f t="shared" si="8"/>
        <v>1804335.245</v>
      </c>
      <c r="L45" s="239">
        <f t="shared" si="8"/>
        <v>1772896.76</v>
      </c>
      <c r="M45" s="239">
        <f t="shared" si="8"/>
        <v>1744590.1916666667</v>
      </c>
      <c r="N45" s="239">
        <f t="shared" si="8"/>
        <v>1719766.54</v>
      </c>
      <c r="O45" s="239">
        <f t="shared" si="8"/>
        <v>1655771.2030208334</v>
      </c>
      <c r="P45" s="239">
        <f t="shared" si="8"/>
        <v>1599503.2827083333</v>
      </c>
      <c r="Q45" s="239">
        <f t="shared" si="8"/>
        <v>1548088.1540625</v>
      </c>
      <c r="R45" s="239">
        <f aca="true" t="shared" si="9" ref="R45:X45">SUM(R42:R44)</f>
        <v>1502250.5670833334</v>
      </c>
      <c r="S45" s="239">
        <f t="shared" si="9"/>
        <v>1462715.2717708333</v>
      </c>
      <c r="T45" s="239">
        <f t="shared" si="9"/>
        <v>1430556.393125</v>
      </c>
      <c r="U45" s="239">
        <f t="shared" si="9"/>
        <v>419276.5572916666</v>
      </c>
      <c r="V45" s="239">
        <f t="shared" si="9"/>
        <v>4050266.6302083335</v>
      </c>
      <c r="W45" s="239">
        <f t="shared" si="9"/>
        <v>5211224.8720703125</v>
      </c>
      <c r="X45" s="239">
        <f t="shared" si="9"/>
        <v>10440875.062174479</v>
      </c>
    </row>
    <row r="46" spans="1:24" ht="12.75">
      <c r="A46" s="238"/>
      <c r="B46" s="238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9"/>
      <c r="V46" s="239"/>
      <c r="W46" s="239"/>
      <c r="X46" s="237"/>
    </row>
    <row r="47" spans="1:24" ht="12.75">
      <c r="A47" s="238" t="s">
        <v>34</v>
      </c>
      <c r="B47" s="238"/>
      <c r="C47" s="237">
        <f aca="true" t="shared" si="10" ref="C47:Q47">C45+C39</f>
        <v>1987606.839041096</v>
      </c>
      <c r="D47" s="237">
        <f t="shared" si="10"/>
        <v>1963146.4242465752</v>
      </c>
      <c r="E47" s="237">
        <f t="shared" si="10"/>
        <v>1944090.119041096</v>
      </c>
      <c r="F47" s="237">
        <f t="shared" si="10"/>
        <v>1925581.7590410959</v>
      </c>
      <c r="G47" s="237">
        <f t="shared" si="10"/>
        <v>1907073.399041096</v>
      </c>
      <c r="H47" s="237">
        <f t="shared" si="10"/>
        <v>1893765.0390410959</v>
      </c>
      <c r="I47" s="237">
        <f t="shared" si="10"/>
        <v>1860450.971849315</v>
      </c>
      <c r="J47" s="237">
        <f t="shared" si="10"/>
        <v>1831369.930913242</v>
      </c>
      <c r="K47" s="237">
        <f t="shared" si="10"/>
        <v>1804992.7792465754</v>
      </c>
      <c r="L47" s="237">
        <f t="shared" si="10"/>
        <v>1773554.2942465753</v>
      </c>
      <c r="M47" s="237">
        <f t="shared" si="10"/>
        <v>1745247.725913242</v>
      </c>
      <c r="N47" s="237">
        <f t="shared" si="10"/>
        <v>1720424.0742465754</v>
      </c>
      <c r="O47" s="237">
        <f t="shared" si="10"/>
        <v>1656702.7098701485</v>
      </c>
      <c r="P47" s="237">
        <f t="shared" si="10"/>
        <v>1600160.8169549087</v>
      </c>
      <c r="Q47" s="237">
        <f t="shared" si="10"/>
        <v>1548745.6883090753</v>
      </c>
      <c r="R47" s="237">
        <f aca="true" t="shared" si="11" ref="R47:X47">R45+R39</f>
        <v>1502908.1013299087</v>
      </c>
      <c r="S47" s="237">
        <f t="shared" si="11"/>
        <v>1463372.8060174086</v>
      </c>
      <c r="T47" s="237">
        <f t="shared" si="11"/>
        <v>1431213.9273715753</v>
      </c>
      <c r="U47" s="237">
        <f t="shared" si="11"/>
        <v>422290.2559218036</v>
      </c>
      <c r="V47" s="237">
        <f t="shared" si="11"/>
        <v>4068348.8219891554</v>
      </c>
      <c r="W47" s="237">
        <f t="shared" si="11"/>
        <v>5227663.228234696</v>
      </c>
      <c r="X47" s="237">
        <f t="shared" si="11"/>
        <v>10461696.979982698</v>
      </c>
    </row>
    <row r="48" spans="1:24" ht="12.75">
      <c r="A48" s="232"/>
      <c r="B48" s="232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</row>
    <row r="49" spans="1:24" s="108" customFormat="1" ht="12.75">
      <c r="A49" s="238"/>
      <c r="B49" s="238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</row>
    <row r="50" spans="1:24" ht="12.75">
      <c r="A50" s="232"/>
      <c r="B50" s="232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</row>
    <row r="51" spans="1:24" ht="12.75">
      <c r="A51" s="232"/>
      <c r="B51" s="232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</row>
    <row r="52" spans="1:24" ht="12.75">
      <c r="A52" s="232"/>
      <c r="B52" s="232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</row>
    <row r="53" spans="1:24" ht="12.75">
      <c r="A53" s="232" t="s">
        <v>11</v>
      </c>
      <c r="B53" s="232"/>
      <c r="C53" s="237">
        <f>'P&amp;L'!B26-'Working Capital'!B18</f>
        <v>0</v>
      </c>
      <c r="D53" s="237">
        <f>'P&amp;L'!C26-'Working Capital'!C18</f>
        <v>-19125.41095890411</v>
      </c>
      <c r="E53" s="237">
        <f>'P&amp;L'!D26-'Working Capital'!D18</f>
        <v>-37816.86575342466</v>
      </c>
      <c r="F53" s="237">
        <f>'P&amp;L'!E26-'Working Capital'!E18</f>
        <v>-28364.810958904112</v>
      </c>
      <c r="G53" s="237">
        <f>'P&amp;L'!F26-'Working Capital'!F18</f>
        <v>-28364.810958904112</v>
      </c>
      <c r="H53" s="237">
        <f>'P&amp;L'!G26-'Working Capital'!G18</f>
        <v>-28364.810958904112</v>
      </c>
      <c r="I53" s="237">
        <f>'P&amp;L'!H26-'Working Capital'!H18</f>
        <v>-21679.879452054796</v>
      </c>
      <c r="J53" s="237">
        <f>'P&amp;L'!I26-'Working Capital'!I18</f>
        <v>-53344.297260273976</v>
      </c>
      <c r="K53" s="237">
        <f>'P&amp;L'!J26-'Working Capital'!J18</f>
        <v>-45952.5392694064</v>
      </c>
      <c r="L53" s="237">
        <f>'P&amp;L'!K26-'Working Capital'!K18</f>
        <v>-42835.57579908676</v>
      </c>
      <c r="M53" s="237">
        <f>'P&amp;L'!L26-'Working Capital'!L18</f>
        <v>-51332.37945205479</v>
      </c>
      <c r="N53" s="237">
        <f>'P&amp;L'!M26-'Working Capital'!M18</f>
        <v>-47312.95022831052</v>
      </c>
      <c r="O53" s="237">
        <f>'P&amp;L'!N26-'Working Capital'!N18</f>
        <v>-42842.288127853884</v>
      </c>
      <c r="P53" s="237">
        <f>'P&amp;L'!O26-'Working Capital'!O18</f>
        <v>-104252.7207477169</v>
      </c>
      <c r="Q53" s="237">
        <f>'P&amp;L'!P26-'Working Capital'!P18</f>
        <v>-93777.53809931508</v>
      </c>
      <c r="R53" s="237">
        <f>'P&amp;L'!Q26-'Working Capital'!Q18</f>
        <v>-87545.81435502283</v>
      </c>
      <c r="S53" s="237">
        <f>'P&amp;L'!R26-'Working Capital'!R18</f>
        <v>-80382.37828196348</v>
      </c>
      <c r="T53" s="237">
        <f>'P&amp;L'!S26-'Working Capital'!S18</f>
        <v>-72287.22988013699</v>
      </c>
      <c r="U53" s="237">
        <f>'P&amp;L'!U26-'Working Capital'!B18</f>
        <v>183502.39583333326</v>
      </c>
      <c r="V53" s="237">
        <f>'P&amp;L'!U26-'Working Capital'!U18</f>
        <v>22131.710901826416</v>
      </c>
      <c r="W53" s="237">
        <f>'P&amp;L'!V26-'Working Capital'!V18</f>
        <v>387927.10901826504</v>
      </c>
      <c r="X53" s="237">
        <f>'P&amp;L'!W26-'Working Capital'!W18</f>
        <v>2633509.3288919805</v>
      </c>
    </row>
    <row r="54" spans="21:24" ht="12.75">
      <c r="U54" s="201"/>
      <c r="V54" s="201"/>
      <c r="W54" s="201"/>
      <c r="X54" s="201"/>
    </row>
    <row r="55" spans="21:24" ht="12.75">
      <c r="U55" s="201"/>
      <c r="V55" s="201"/>
      <c r="W55" s="201"/>
      <c r="X55" s="201"/>
    </row>
  </sheetData>
  <sheetProtection/>
  <printOptions horizontalCentered="1"/>
  <pageMargins left="0.25" right="0.25" top="1" bottom="0.75" header="0.5" footer="0.27"/>
  <pageSetup horizontalDpi="600" verticalDpi="600" orientation="landscape" scale="40" r:id="rId1"/>
  <headerFooter alignWithMargins="0">
    <oddHeader>&amp;LConfidential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8.140625" style="0" bestFit="1" customWidth="1"/>
    <col min="2" max="2" width="17.7109375" style="0" bestFit="1" customWidth="1"/>
    <col min="3" max="3" width="18.7109375" style="0" bestFit="1" customWidth="1"/>
    <col min="4" max="4" width="17.7109375" style="0" bestFit="1" customWidth="1"/>
    <col min="5" max="5" width="18.7109375" style="0" bestFit="1" customWidth="1"/>
  </cols>
  <sheetData>
    <row r="1" ht="12.75">
      <c r="A1" s="14" t="s">
        <v>320</v>
      </c>
    </row>
    <row r="2" ht="12.75">
      <c r="A2" s="14" t="s">
        <v>60</v>
      </c>
    </row>
    <row r="3" spans="1:5" ht="12.75">
      <c r="A3" s="217"/>
      <c r="B3" s="217"/>
      <c r="C3" s="217"/>
      <c r="D3" s="217"/>
      <c r="E3" s="217"/>
    </row>
    <row r="4" spans="1:5" ht="12.75">
      <c r="A4" s="218" t="s">
        <v>242</v>
      </c>
      <c r="B4" s="219">
        <v>500000</v>
      </c>
      <c r="C4" s="217"/>
      <c r="D4" s="217"/>
      <c r="E4" s="217"/>
    </row>
    <row r="5" spans="1:5" ht="12.75">
      <c r="A5" s="218" t="s">
        <v>243</v>
      </c>
      <c r="B5" s="219">
        <v>1000000</v>
      </c>
      <c r="C5" s="217" t="s">
        <v>259</v>
      </c>
      <c r="D5" s="217"/>
      <c r="E5" s="217"/>
    </row>
    <row r="6" spans="1:5" ht="12.75">
      <c r="A6" s="218"/>
      <c r="B6" s="220"/>
      <c r="C6" s="217"/>
      <c r="D6" s="217"/>
      <c r="E6" s="217"/>
    </row>
    <row r="7" spans="1:5" ht="12.75">
      <c r="A7" s="217"/>
      <c r="B7" s="220" t="s">
        <v>247</v>
      </c>
      <c r="C7" s="217" t="s">
        <v>244</v>
      </c>
      <c r="D7" s="217" t="s">
        <v>245</v>
      </c>
      <c r="E7" s="217" t="s">
        <v>246</v>
      </c>
    </row>
    <row r="8" spans="1:5" ht="12.75">
      <c r="A8" s="217"/>
      <c r="B8" s="219">
        <v>5000000</v>
      </c>
      <c r="C8" s="221">
        <f>B8+B4</f>
        <v>5500000</v>
      </c>
      <c r="D8" s="221">
        <v>10000000</v>
      </c>
      <c r="E8" s="221">
        <f>D8+B5</f>
        <v>11000000</v>
      </c>
    </row>
    <row r="9" spans="1:5" ht="12.75">
      <c r="A9" s="217"/>
      <c r="B9" s="217"/>
      <c r="C9" s="217"/>
      <c r="D9" s="217"/>
      <c r="E9" s="217"/>
    </row>
    <row r="10" spans="1:5" ht="12.75">
      <c r="A10" s="217" t="s">
        <v>321</v>
      </c>
      <c r="B10" s="222">
        <v>0.555</v>
      </c>
      <c r="C10" s="222">
        <f aca="true" t="shared" si="0" ref="C10:C16">($B$8/$C$8)*B10</f>
        <v>0.5045454545454545</v>
      </c>
      <c r="D10" s="223">
        <f aca="true" t="shared" si="1" ref="D10:D15">C10</f>
        <v>0.5045454545454545</v>
      </c>
      <c r="E10" s="222">
        <f aca="true" t="shared" si="2" ref="E10:E15">($D$8/$E$8)*D10</f>
        <v>0.4586776859504132</v>
      </c>
    </row>
    <row r="11" spans="1:5" ht="12.75">
      <c r="A11" s="217" t="s">
        <v>322</v>
      </c>
      <c r="B11" s="222">
        <v>0.2</v>
      </c>
      <c r="C11" s="222">
        <f t="shared" si="0"/>
        <v>0.18181818181818182</v>
      </c>
      <c r="D11" s="223">
        <f t="shared" si="1"/>
        <v>0.18181818181818182</v>
      </c>
      <c r="E11" s="222">
        <f t="shared" si="2"/>
        <v>0.1652892561983471</v>
      </c>
    </row>
    <row r="12" spans="1:5" ht="12.75">
      <c r="A12" s="217" t="s">
        <v>232</v>
      </c>
      <c r="B12" s="222">
        <v>0.125</v>
      </c>
      <c r="C12" s="222">
        <f t="shared" si="0"/>
        <v>0.11363636363636363</v>
      </c>
      <c r="D12" s="223">
        <f t="shared" si="1"/>
        <v>0.11363636363636363</v>
      </c>
      <c r="E12" s="222">
        <f t="shared" si="2"/>
        <v>0.10330578512396693</v>
      </c>
    </row>
    <row r="13" spans="1:5" ht="12.75">
      <c r="A13" s="217" t="s">
        <v>233</v>
      </c>
      <c r="B13" s="222">
        <v>0.04</v>
      </c>
      <c r="C13" s="222">
        <f t="shared" si="0"/>
        <v>0.03636363636363636</v>
      </c>
      <c r="D13" s="223">
        <f t="shared" si="1"/>
        <v>0.03636363636363636</v>
      </c>
      <c r="E13" s="222">
        <f t="shared" si="2"/>
        <v>0.033057851239669415</v>
      </c>
    </row>
    <row r="14" spans="1:5" ht="12.75">
      <c r="A14" s="217" t="s">
        <v>233</v>
      </c>
      <c r="B14" s="222">
        <v>0.04</v>
      </c>
      <c r="C14" s="222">
        <f t="shared" si="0"/>
        <v>0.03636363636363636</v>
      </c>
      <c r="D14" s="223">
        <f t="shared" si="1"/>
        <v>0.03636363636363636</v>
      </c>
      <c r="E14" s="222">
        <f t="shared" si="2"/>
        <v>0.033057851239669415</v>
      </c>
    </row>
    <row r="15" spans="1:5" ht="12.75">
      <c r="A15" s="217" t="s">
        <v>233</v>
      </c>
      <c r="B15" s="222">
        <v>0.04</v>
      </c>
      <c r="C15" s="222">
        <f t="shared" si="0"/>
        <v>0.03636363636363636</v>
      </c>
      <c r="D15" s="223">
        <f t="shared" si="1"/>
        <v>0.03636363636363636</v>
      </c>
      <c r="E15" s="222">
        <f t="shared" si="2"/>
        <v>0.033057851239669415</v>
      </c>
    </row>
    <row r="16" spans="1:5" ht="12.75">
      <c r="A16" s="217" t="s">
        <v>61</v>
      </c>
      <c r="B16" s="222">
        <v>0</v>
      </c>
      <c r="C16" s="222">
        <f t="shared" si="0"/>
        <v>0</v>
      </c>
      <c r="D16" s="223">
        <v>0</v>
      </c>
      <c r="E16" s="222">
        <v>0.05</v>
      </c>
    </row>
    <row r="17" spans="1:5" ht="12.75">
      <c r="A17" s="220" t="s">
        <v>248</v>
      </c>
      <c r="B17" s="222">
        <v>0</v>
      </c>
      <c r="C17" s="223">
        <f>1-C10-C11-C12-C13-C14-C15-C16</f>
        <v>0.0909090909090909</v>
      </c>
      <c r="D17" s="223">
        <f>C17</f>
        <v>0.0909090909090909</v>
      </c>
      <c r="E17" s="222">
        <f>($D$8/$E$8)*D17</f>
        <v>0.08264462809917354</v>
      </c>
    </row>
    <row r="18" spans="1:5" ht="12.75">
      <c r="A18" s="220" t="s">
        <v>249</v>
      </c>
      <c r="B18" s="222">
        <v>0</v>
      </c>
      <c r="C18" s="222">
        <v>0</v>
      </c>
      <c r="D18" s="222">
        <v>0</v>
      </c>
      <c r="E18" s="223">
        <f>1-E10-E11-E12-E13-E14-E15-E16-E17</f>
        <v>0.040909090909091006</v>
      </c>
    </row>
    <row r="19" spans="1:5" ht="12.75">
      <c r="A19" s="220"/>
      <c r="B19" s="224"/>
      <c r="C19" s="224"/>
      <c r="D19" s="224"/>
      <c r="E19" s="225"/>
    </row>
    <row r="20" spans="1:5" ht="12.75">
      <c r="A20" s="217" t="s">
        <v>48</v>
      </c>
      <c r="B20" s="224">
        <f>SUM(B10:B18)</f>
        <v>1.0000000000000002</v>
      </c>
      <c r="C20" s="226">
        <f>SUM(C10:C18)</f>
        <v>1</v>
      </c>
      <c r="D20" s="226">
        <f>SUM(D10:D18)</f>
        <v>1</v>
      </c>
      <c r="E20" s="226">
        <f>SUM(E10:E18)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Luminetx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Zaleski</dc:creator>
  <cp:keywords/>
  <dc:description/>
  <cp:lastModifiedBy>Brandon</cp:lastModifiedBy>
  <cp:lastPrinted>2009-03-06T07:22:57Z</cp:lastPrinted>
  <dcterms:created xsi:type="dcterms:W3CDTF">2005-06-30T18:35:12Z</dcterms:created>
  <dcterms:modified xsi:type="dcterms:W3CDTF">2013-06-10T14:29:41Z</dcterms:modified>
  <cp:category/>
  <cp:version/>
  <cp:contentType/>
  <cp:contentStatus/>
</cp:coreProperties>
</file>